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240" yWindow="105" windowWidth="14805" windowHeight="8010"/>
  </bookViews>
  <sheets>
    <sheet name="PA trả nợ" sheetId="1" r:id="rId1"/>
  </sheets>
  <externalReferences>
    <externalReference r:id="rId2"/>
  </externalReferences>
  <definedNames>
    <definedName name="_xlnm.Print_Area" localSheetId="0">'PA trả nợ'!$A$1:$R$59</definedName>
    <definedName name="_xlnm.Print_Titles" localSheetId="0">'PA trả nợ'!$12:$14</definedName>
  </definedNames>
  <calcPr calcId="144525"/>
</workbook>
</file>

<file path=xl/calcChain.xml><?xml version="1.0" encoding="utf-8"?>
<calcChain xmlns="http://schemas.openxmlformats.org/spreadsheetml/2006/main">
  <c r="O16" i="1" l="1"/>
  <c r="E59" i="1" l="1"/>
  <c r="O18" i="1" l="1"/>
  <c r="O57" i="1" s="1"/>
  <c r="N4" i="1"/>
  <c r="B56" i="1" l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N27" i="1"/>
  <c r="B27" i="1"/>
  <c r="N26" i="1"/>
  <c r="B26" i="1"/>
  <c r="N25" i="1"/>
  <c r="E25" i="1"/>
  <c r="E26" i="1" s="1"/>
  <c r="B25" i="1"/>
  <c r="B24" i="1"/>
  <c r="F24" i="1"/>
  <c r="B23" i="1"/>
  <c r="B22" i="1"/>
  <c r="F22" i="1"/>
  <c r="B21" i="1"/>
  <c r="B20" i="1"/>
  <c r="B19" i="1"/>
  <c r="A19" i="1"/>
  <c r="A21" i="1" s="1"/>
  <c r="A23" i="1" s="1"/>
  <c r="A25" i="1" s="1"/>
  <c r="A27" i="1" s="1"/>
  <c r="A29" i="1" s="1"/>
  <c r="A31" i="1" s="1"/>
  <c r="A33" i="1" s="1"/>
  <c r="A35" i="1" s="1"/>
  <c r="A37" i="1" s="1"/>
  <c r="A39" i="1" s="1"/>
  <c r="A41" i="1" s="1"/>
  <c r="A43" i="1" s="1"/>
  <c r="A45" i="1" s="1"/>
  <c r="A47" i="1" s="1"/>
  <c r="A49" i="1" s="1"/>
  <c r="A51" i="1" s="1"/>
  <c r="A53" i="1" s="1"/>
  <c r="A55" i="1" s="1"/>
  <c r="B18" i="1"/>
  <c r="G9" i="1"/>
  <c r="K36" i="1" s="1"/>
  <c r="G5" i="1"/>
  <c r="N7" i="1"/>
  <c r="K31" i="1" l="1"/>
  <c r="K32" i="1"/>
  <c r="F18" i="1"/>
  <c r="F21" i="1"/>
  <c r="F23" i="1"/>
  <c r="F19" i="1"/>
  <c r="E57" i="1"/>
  <c r="I19" i="1"/>
  <c r="K37" i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G18" i="1"/>
  <c r="K33" i="1"/>
  <c r="K34" i="1"/>
  <c r="I18" i="1"/>
  <c r="K35" i="1"/>
  <c r="M18" i="1" l="1"/>
  <c r="P18" i="1"/>
  <c r="J18" i="1"/>
  <c r="H18" i="1" s="1"/>
  <c r="N18" i="1" s="1"/>
  <c r="I22" i="1"/>
  <c r="I21" i="1"/>
  <c r="J19" i="1"/>
  <c r="H19" i="1" s="1"/>
  <c r="N19" i="1" s="1"/>
  <c r="I23" i="1"/>
  <c r="I20" i="1"/>
  <c r="N24" i="1"/>
  <c r="F20" i="1"/>
  <c r="E16" i="1"/>
  <c r="G19" i="1"/>
  <c r="J20" i="1" l="1"/>
  <c r="H20" i="1" s="1"/>
  <c r="N20" i="1" s="1"/>
  <c r="J22" i="1"/>
  <c r="H22" i="1" s="1"/>
  <c r="N22" i="1" s="1"/>
  <c r="J21" i="1"/>
  <c r="H21" i="1" s="1"/>
  <c r="N21" i="1" s="1"/>
  <c r="J23" i="1"/>
  <c r="H23" i="1" s="1"/>
  <c r="N23" i="1" s="1"/>
  <c r="M19" i="1"/>
  <c r="P19" i="1"/>
  <c r="F57" i="1"/>
  <c r="F16" i="1" s="1"/>
  <c r="D16" i="1" s="1"/>
  <c r="G20" i="1"/>
  <c r="P20" i="1" l="1"/>
  <c r="M20" i="1"/>
  <c r="N57" i="1"/>
  <c r="N16" i="1" s="1"/>
  <c r="G21" i="1"/>
  <c r="P21" i="1" s="1"/>
  <c r="Q19" i="1"/>
  <c r="R19" i="1" s="1"/>
  <c r="M21" i="1" l="1"/>
  <c r="G22" i="1"/>
  <c r="P22" i="1" s="1"/>
  <c r="Q20" i="1"/>
  <c r="M22" i="1" l="1"/>
  <c r="G23" i="1"/>
  <c r="P23" i="1" s="1"/>
  <c r="Q21" i="1"/>
  <c r="R21" i="1" s="1"/>
  <c r="R20" i="1"/>
  <c r="G24" i="1" l="1"/>
  <c r="P24" i="1" s="1"/>
  <c r="M23" i="1"/>
  <c r="Q22" i="1"/>
  <c r="R22" i="1" s="1"/>
  <c r="Q23" i="1" l="1"/>
  <c r="R23" i="1" s="1"/>
  <c r="G25" i="1"/>
  <c r="P25" i="1" s="1"/>
  <c r="M24" i="1"/>
  <c r="Q24" i="1" l="1"/>
  <c r="G26" i="1"/>
  <c r="P26" i="1" s="1"/>
  <c r="P5" i="1"/>
  <c r="M25" i="1"/>
  <c r="Q25" i="1" l="1"/>
  <c r="R25" i="1" s="1"/>
  <c r="M26" i="1"/>
  <c r="G27" i="1"/>
  <c r="P27" i="1" s="1"/>
  <c r="R24" i="1"/>
  <c r="Q26" i="1" l="1"/>
  <c r="R26" i="1" s="1"/>
  <c r="M27" i="1"/>
  <c r="G28" i="1"/>
  <c r="P28" i="1" s="1"/>
  <c r="Q27" i="1" l="1"/>
  <c r="R27" i="1" s="1"/>
  <c r="G29" i="1"/>
  <c r="M28" i="1"/>
  <c r="Q28" i="1" s="1"/>
  <c r="R28" i="1" s="1"/>
  <c r="P29" i="1" l="1"/>
  <c r="M29" i="1"/>
  <c r="G30" i="1"/>
  <c r="P30" i="1" l="1"/>
  <c r="M30" i="1"/>
  <c r="Q29" i="1"/>
  <c r="R29" i="1" s="1"/>
  <c r="G31" i="1"/>
  <c r="L31" i="1" s="1"/>
  <c r="P31" i="1" l="1"/>
  <c r="Q30" i="1"/>
  <c r="R30" i="1" s="1"/>
  <c r="L52" i="1"/>
  <c r="L46" i="1"/>
  <c r="L45" i="1"/>
  <c r="L42" i="1"/>
  <c r="L41" i="1"/>
  <c r="L34" i="1"/>
  <c r="L33" i="1"/>
  <c r="M31" i="1"/>
  <c r="L56" i="1"/>
  <c r="L51" i="1"/>
  <c r="L44" i="1"/>
  <c r="L40" i="1"/>
  <c r="L39" i="1"/>
  <c r="L32" i="1"/>
  <c r="L54" i="1"/>
  <c r="L53" i="1"/>
  <c r="L48" i="1"/>
  <c r="L47" i="1"/>
  <c r="L36" i="1"/>
  <c r="L35" i="1"/>
  <c r="L49" i="1"/>
  <c r="L37" i="1"/>
  <c r="L50" i="1"/>
  <c r="L43" i="1"/>
  <c r="L38" i="1"/>
  <c r="L55" i="1"/>
  <c r="L57" i="1" l="1"/>
  <c r="L16" i="1" s="1"/>
  <c r="Q31" i="1"/>
  <c r="R31" i="1" s="1"/>
  <c r="G32" i="1"/>
  <c r="P32" i="1" l="1"/>
  <c r="G33" i="1"/>
  <c r="P33" i="1" s="1"/>
  <c r="M32" i="1"/>
  <c r="Q32" i="1" l="1"/>
  <c r="R32" i="1" s="1"/>
  <c r="M33" i="1"/>
  <c r="G34" i="1"/>
  <c r="P34" i="1" s="1"/>
  <c r="G35" i="1" l="1"/>
  <c r="P35" i="1" s="1"/>
  <c r="M34" i="1"/>
  <c r="Q33" i="1"/>
  <c r="R33" i="1" s="1"/>
  <c r="Q34" i="1" l="1"/>
  <c r="R34" i="1" s="1"/>
  <c r="G36" i="1"/>
  <c r="P36" i="1" s="1"/>
  <c r="M35" i="1"/>
  <c r="Q35" i="1" s="1"/>
  <c r="R35" i="1" s="1"/>
  <c r="G37" i="1" l="1"/>
  <c r="P37" i="1" s="1"/>
  <c r="M36" i="1"/>
  <c r="Q36" i="1" l="1"/>
  <c r="R36" i="1" s="1"/>
  <c r="G38" i="1"/>
  <c r="P38" i="1" s="1"/>
  <c r="M37" i="1"/>
  <c r="Q37" i="1" l="1"/>
  <c r="R37" i="1" s="1"/>
  <c r="M38" i="1"/>
  <c r="G39" i="1"/>
  <c r="P39" i="1" s="1"/>
  <c r="Q38" i="1" l="1"/>
  <c r="R38" i="1" s="1"/>
  <c r="M39" i="1"/>
  <c r="G40" i="1"/>
  <c r="P40" i="1" s="1"/>
  <c r="M40" i="1" l="1"/>
  <c r="G41" i="1"/>
  <c r="P41" i="1" s="1"/>
  <c r="Q39" i="1"/>
  <c r="R39" i="1" s="1"/>
  <c r="Q40" i="1" l="1"/>
  <c r="R40" i="1" s="1"/>
  <c r="M41" i="1"/>
  <c r="G42" i="1"/>
  <c r="P42" i="1" s="1"/>
  <c r="G43" i="1" l="1"/>
  <c r="P43" i="1" s="1"/>
  <c r="M42" i="1"/>
  <c r="Q41" i="1"/>
  <c r="R41" i="1" s="1"/>
  <c r="Q42" i="1" l="1"/>
  <c r="R42" i="1" s="1"/>
  <c r="M43" i="1"/>
  <c r="G44" i="1"/>
  <c r="P44" i="1" s="1"/>
  <c r="Q43" i="1" l="1"/>
  <c r="R43" i="1" s="1"/>
  <c r="M44" i="1"/>
  <c r="G45" i="1"/>
  <c r="P45" i="1" s="1"/>
  <c r="M45" i="1" l="1"/>
  <c r="G46" i="1"/>
  <c r="P46" i="1" s="1"/>
  <c r="Q44" i="1"/>
  <c r="R44" i="1" s="1"/>
  <c r="G47" i="1" l="1"/>
  <c r="P47" i="1" s="1"/>
  <c r="M46" i="1"/>
  <c r="Q45" i="1"/>
  <c r="R45" i="1" s="1"/>
  <c r="Q46" i="1" l="1"/>
  <c r="R46" i="1" s="1"/>
  <c r="G48" i="1"/>
  <c r="P48" i="1" s="1"/>
  <c r="M47" i="1"/>
  <c r="G49" i="1" l="1"/>
  <c r="P49" i="1" s="1"/>
  <c r="M48" i="1"/>
  <c r="Q47" i="1"/>
  <c r="R47" i="1" s="1"/>
  <c r="Q48" i="1" l="1"/>
  <c r="R48" i="1" s="1"/>
  <c r="G50" i="1"/>
  <c r="P50" i="1" s="1"/>
  <c r="M49" i="1"/>
  <c r="Q49" i="1" l="1"/>
  <c r="R49" i="1" s="1"/>
  <c r="M50" i="1"/>
  <c r="G51" i="1"/>
  <c r="P51" i="1" s="1"/>
  <c r="Q50" i="1" l="1"/>
  <c r="R50" i="1" s="1"/>
  <c r="M51" i="1"/>
  <c r="G52" i="1"/>
  <c r="P52" i="1" s="1"/>
  <c r="G53" i="1" l="1"/>
  <c r="P53" i="1" s="1"/>
  <c r="M52" i="1"/>
  <c r="Q51" i="1"/>
  <c r="R51" i="1" s="1"/>
  <c r="Q52" i="1" l="1"/>
  <c r="R52" i="1" s="1"/>
  <c r="G54" i="1"/>
  <c r="P54" i="1" s="1"/>
  <c r="M53" i="1"/>
  <c r="Q53" i="1" l="1"/>
  <c r="R53" i="1" s="1"/>
  <c r="G55" i="1"/>
  <c r="P55" i="1" s="1"/>
  <c r="M54" i="1"/>
  <c r="Q54" i="1" l="1"/>
  <c r="R54" i="1" s="1"/>
  <c r="M55" i="1"/>
  <c r="G56" i="1"/>
  <c r="P56" i="1" s="1"/>
  <c r="P57" i="1" s="1"/>
  <c r="Q55" i="1" l="1"/>
  <c r="R55" i="1" s="1"/>
  <c r="M56" i="1"/>
  <c r="P16" i="1"/>
  <c r="Q56" i="1" l="1"/>
  <c r="R56" i="1" l="1"/>
  <c r="M57" i="1"/>
  <c r="M16" i="1" s="1"/>
  <c r="Q18" i="1"/>
  <c r="R18" i="1" s="1"/>
  <c r="R57" i="1" l="1"/>
  <c r="R16" i="1" s="1"/>
  <c r="Q57" i="1"/>
  <c r="Q16" i="1" l="1"/>
</calcChain>
</file>

<file path=xl/sharedStrings.xml><?xml version="1.0" encoding="utf-8"?>
<sst xmlns="http://schemas.openxmlformats.org/spreadsheetml/2006/main" count="85" uniqueCount="50">
  <si>
    <t>Tổng vốn AFD</t>
  </si>
  <si>
    <t>Lãi suẩt 6 tháng</t>
  </si>
  <si>
    <t>%/năm</t>
  </si>
  <si>
    <t>Tỉnh Quảng Trị vay</t>
  </si>
  <si>
    <t>Phí huy động</t>
  </si>
  <si>
    <t>Thời gian vay</t>
  </si>
  <si>
    <t xml:space="preserve">Năm </t>
  </si>
  <si>
    <t>Phí quản lý vay lại</t>
  </si>
  <si>
    <t>Thời gian ân hạn</t>
  </si>
  <si>
    <t>EUR/VND</t>
  </si>
  <si>
    <t>Phí cam kết</t>
  </si>
  <si>
    <t>Phí thẩm cứu</t>
  </si>
  <si>
    <t>Trả nợ gốc từ 2031-2040</t>
  </si>
  <si>
    <t>% khoan vay lại</t>
  </si>
  <si>
    <t>Số dư nợ vay lại</t>
  </si>
  <si>
    <t>Tỷ lệ hoàn trả nợ gốc</t>
  </si>
  <si>
    <t>Triệu VND</t>
  </si>
  <si>
    <t>0,00%</t>
  </si>
  <si>
    <t>-</t>
  </si>
  <si>
    <t>Tổng</t>
  </si>
  <si>
    <t xml:space="preserve">( </t>
  </si>
  <si>
    <t>Lãi suẩt (Euribor 6 tháng -37pdb)</t>
  </si>
  <si>
    <t xml:space="preserve">Trả nợ gốc dự kiến </t>
  </si>
  <si>
    <t>Tỷ giá dự toán</t>
  </si>
  <si>
    <t>Tổng nợ phải trả</t>
  </si>
  <si>
    <t>Trả lãi</t>
  </si>
  <si>
    <t xml:space="preserve">Trả nợ gốc </t>
  </si>
  <si>
    <t>(EUR)</t>
  </si>
  <si>
    <t>Thời gian trả nợ theo kỳ thanh toán</t>
  </si>
  <si>
    <t xml:space="preserve"> (ngày)</t>
  </si>
  <si>
    <t>EUR</t>
  </si>
  <si>
    <t>Kế hoạch giải ngân phần Trung ương cấp phát</t>
  </si>
  <si>
    <t>Số tiền chưa giải ngân- phần TW cấp phát</t>
  </si>
  <si>
    <t>A</t>
  </si>
  <si>
    <t>7 = 3,59% *(3)/360*180</t>
  </si>
  <si>
    <t xml:space="preserve">Kế hoạch giải ngân </t>
  </si>
  <si>
    <t>Trung ương cấp phát</t>
  </si>
  <si>
    <t>Địa phương vay lại</t>
  </si>
  <si>
    <t xml:space="preserve">Kế hoạch vốn chưa giải ngân </t>
  </si>
  <si>
    <t>6 = 7,69%* 10.140.000 EUR/360*180</t>
  </si>
  <si>
    <t>8 = 0,35% * ((4)+(5))/360*180</t>
  </si>
  <si>
    <t>9 = 0,4% * 33.800.000 EUR</t>
  </si>
  <si>
    <t>10 = 0,25% * (3) /360*180</t>
  </si>
  <si>
    <t>11 = (6)+(7)+(8)+(9)</t>
  </si>
  <si>
    <t>Phí 
thẩm cứu</t>
  </si>
  <si>
    <t>Phí 
cam kết</t>
  </si>
  <si>
    <t xml:space="preserve">PHƯƠNG ÁN VAY VÀ TRẢ NỢ VỐN VAY LẠI </t>
  </si>
  <si>
    <t>Ghi chú:</t>
  </si>
  <si>
    <t xml:space="preserve">Tỷ giá dự toán </t>
  </si>
  <si>
    <t>(Kèm theo Nghị quyết số:          /NQ-HĐND ngày 24/10/2023 của Hội đồng nhân dân tỉnh Quảng Trị)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</si>
</sst>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-* #,##0.00\ _₫_-;\-* #,##0.00\ _₫_-;_-* &quot;-&quot;??\ _₫_-;_-@_-"/>
    <numFmt numFmtId="166" formatCode="[$-1010000]d/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Times New Roman"/>
      <family val="1"/>
    </font>
    <font>
      <i/>
      <sz val="10"/>
      <name val="Times New Roman"/>
      <family val="1"/>
    </font>
    <font>
      <sz val="11"/>
      <color indexed="63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color indexed="9"/>
      <name val="Times New Roman"/>
      <family val="1"/>
    </font>
    <font>
      <b/>
      <sz val="14"/>
      <name val="Times New Roman"/>
      <family val="1"/>
    </font>
    <font>
      <i/>
      <sz val="16"/>
      <name val="Times New Roman"/>
      <family val="1"/>
    </font>
    <font>
      <b/>
      <i/>
      <u/>
      <sz val="14"/>
      <name val="Times New Roman"/>
      <family val="1"/>
    </font>
    <font>
      <sz val="14"/>
      <name val="Times New Roman"/>
      <family val="1"/>
    </font>
    <font>
      <b/>
      <sz val="20"/>
      <name val="Times New Roman"/>
      <family val="1"/>
    </font>
    <font>
      <i/>
      <sz val="18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i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89">
    <xf numFmtId="0" fontId="0" fillId="0" borderId="0" xfId="0"/>
    <xf numFmtId="43" fontId="7" fillId="0" borderId="2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64" fontId="5" fillId="0" borderId="0" xfId="1" applyNumberFormat="1" applyFont="1" applyBorder="1" applyAlignment="1">
      <alignment horizontal="right" vertical="center"/>
    </xf>
    <xf numFmtId="10" fontId="5" fillId="0" borderId="0" xfId="1" applyNumberFormat="1" applyFont="1" applyBorder="1" applyAlignment="1">
      <alignment horizontal="right" vertical="center"/>
    </xf>
    <xf numFmtId="10" fontId="5" fillId="0" borderId="1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165" fontId="8" fillId="0" borderId="0" xfId="0" applyNumberFormat="1" applyFont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0" fontId="8" fillId="0" borderId="0" xfId="0" applyNumberFormat="1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164" fontId="12" fillId="0" borderId="0" xfId="0" applyNumberFormat="1" applyFont="1" applyBorder="1" applyAlignment="1">
      <alignment horizontal="left" vertical="center"/>
    </xf>
    <xf numFmtId="164" fontId="12" fillId="0" borderId="0" xfId="1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3" fontId="15" fillId="0" borderId="2" xfId="1" applyNumberFormat="1" applyFont="1" applyBorder="1" applyAlignment="1">
      <alignment vertical="center"/>
    </xf>
    <xf numFmtId="164" fontId="17" fillId="0" borderId="2" xfId="0" applyNumberFormat="1" applyFont="1" applyBorder="1" applyAlignment="1">
      <alignment horizontal="center" vertical="center"/>
    </xf>
    <xf numFmtId="43" fontId="17" fillId="0" borderId="2" xfId="1" applyFont="1" applyBorder="1" applyAlignment="1">
      <alignment horizontal="center" vertical="center"/>
    </xf>
    <xf numFmtId="43" fontId="18" fillId="0" borderId="2" xfId="1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166" fontId="9" fillId="0" borderId="8" xfId="0" applyNumberFormat="1" applyFont="1" applyBorder="1" applyAlignment="1">
      <alignment horizontal="center" vertical="center" wrapText="1"/>
    </xf>
    <xf numFmtId="166" fontId="9" fillId="0" borderId="9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66" fontId="9" fillId="0" borderId="10" xfId="0" applyNumberFormat="1" applyFont="1" applyBorder="1" applyAlignment="1">
      <alignment horizontal="center" vertical="center" wrapText="1"/>
    </xf>
    <xf numFmtId="166" fontId="9" fillId="0" borderId="1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0" borderId="2" xfId="1" applyNumberFormat="1" applyFont="1" applyBorder="1" applyAlignment="1">
      <alignment horizontal="right" vertical="center"/>
    </xf>
    <xf numFmtId="43" fontId="9" fillId="0" borderId="2" xfId="1" applyFont="1" applyBorder="1" applyAlignment="1">
      <alignment horizontal="center" vertical="center"/>
    </xf>
    <xf numFmtId="164" fontId="9" fillId="0" borderId="2" xfId="1" applyNumberFormat="1" applyFont="1" applyBorder="1" applyAlignment="1">
      <alignment vertical="center"/>
    </xf>
    <xf numFmtId="43" fontId="9" fillId="0" borderId="2" xfId="1" applyNumberFormat="1" applyFont="1" applyBorder="1" applyAlignment="1">
      <alignment vertical="center"/>
    </xf>
    <xf numFmtId="43" fontId="9" fillId="0" borderId="2" xfId="1" applyNumberFormat="1" applyFont="1" applyFill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166" fontId="12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164" fontId="12" fillId="0" borderId="2" xfId="1" applyNumberFormat="1" applyFont="1" applyBorder="1" applyAlignment="1">
      <alignment horizontal="center" vertical="center"/>
    </xf>
    <xf numFmtId="43" fontId="12" fillId="0" borderId="2" xfId="1" applyFont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164" fontId="12" fillId="0" borderId="2" xfId="1" applyNumberFormat="1" applyFont="1" applyBorder="1" applyAlignment="1">
      <alignment vertical="center"/>
    </xf>
    <xf numFmtId="10" fontId="12" fillId="0" borderId="2" xfId="2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64" fontId="9" fillId="0" borderId="2" xfId="1" applyNumberFormat="1" applyFont="1" applyBorder="1" applyAlignment="1">
      <alignment horizontal="center" vertical="center"/>
    </xf>
    <xf numFmtId="166" fontId="12" fillId="0" borderId="0" xfId="0" applyNumberFormat="1" applyFont="1" applyAlignment="1">
      <alignment vertical="center"/>
    </xf>
  </cellXfs>
  <cellStyles count="4">
    <cellStyle name="Comma" xfId="1" builtinId="3"/>
    <cellStyle name="Normal" xfId="0" builtinId="0"/>
    <cellStyle name="Normal 2 5" xfId="3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984250</xdr:colOff>
      <xdr:row>2</xdr:row>
      <xdr:rowOff>47625</xdr:rowOff>
    </xdr:from>
    <xdr:to>
      <xdr:col>12</xdr:col>
      <xdr:colOff>428625</xdr:colOff>
      <xdr:row>2</xdr:row>
      <xdr:rowOff>79375</xdr:rowOff>
    </xdr:to>
    <xdr:cxnSp macro="">
      <xdr:nvCxnSpPr>
        <xdr:cNvPr id="3" name="Straight Connector 2"/>
        <xdr:cNvCxnSpPr/>
      </xdr:nvCxnSpPr>
      <xdr:spPr>
        <a:xfrm flipV="1">
          <a:off x="6604000" y="762000"/>
          <a:ext cx="2905125" cy="31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GIANG%20QLNS\10.%20VAY,%20VI&#7878;N%20TR&#7906;\9.%20&#272;&#7872;%20XU&#7844;T%20DA\DA%20&#272;&#244;ng%20H&#224;\2023\B&#7843;ng%20t&#237;nh%20vay%20tr&#7843;%20n&#790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ả nợ tỉnh (2)"/>
      <sheetName val="PA Vay lại"/>
      <sheetName val="CCứ mới"/>
      <sheetName val="Bang5-TM"/>
      <sheetName val="Bang6-GNVV"/>
      <sheetName val="Bang7.8-GNDU"/>
      <sheetName val="Gxd"/>
      <sheetName val="Đền bù"/>
      <sheetName val="ĐG"/>
      <sheetName val="TMĐT"/>
      <sheetName val="TM Tóm tắt"/>
      <sheetName val="Cơ cấu vốn chi tiết"/>
      <sheetName val="Danh Mục"/>
      <sheetName val="KS"/>
      <sheetName val="Giải ngân vốn vay"/>
      <sheetName val="Giải ngân vôn trog nc"/>
      <sheetName val="GN vốn ko HL"/>
      <sheetName val="kh GIẢI NGÂN +"/>
      <sheetName val="Tra"/>
      <sheetName val="Nháp"/>
      <sheetName val="SĐT"/>
      <sheetName val="Trả nợ tổng"/>
      <sheetName val="Trả nợ tỉnh"/>
      <sheetName val="Tỷ lệ vốn"/>
      <sheetName val="chi phí tài chính"/>
      <sheetName val="Tiến độ"/>
      <sheetName val="ĐG Knăng vay"/>
      <sheetName val="Điều kiện vay"/>
      <sheetName val="Thu ngân sách"/>
      <sheetName val="Dự báo Khả năng trả nợ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N3">
            <v>27214</v>
          </cell>
        </row>
      </sheetData>
      <sheetData sheetId="10"/>
      <sheetData sheetId="11"/>
      <sheetData sheetId="12"/>
      <sheetData sheetId="13"/>
      <sheetData sheetId="14">
        <row r="67">
          <cell r="Q67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0">
          <cell r="D10">
            <v>0</v>
          </cell>
        </row>
        <row r="11">
          <cell r="D11">
            <v>0</v>
          </cell>
        </row>
        <row r="12">
          <cell r="D1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view="pageBreakPreview" zoomScale="60" zoomScaleNormal="70" workbookViewId="0">
      <selection activeCell="I22" sqref="I22"/>
    </sheetView>
  </sheetViews>
  <sheetFormatPr defaultColWidth="10.140625" defaultRowHeight="15.75" x14ac:dyDescent="0.25"/>
  <cols>
    <col min="1" max="1" width="11.5703125" style="2" customWidth="1"/>
    <col min="2" max="2" width="13" style="16" customWidth="1"/>
    <col min="3" max="3" width="12.7109375" style="16" customWidth="1"/>
    <col min="4" max="4" width="14.85546875" style="16" customWidth="1"/>
    <col min="5" max="5" width="17" style="2" customWidth="1"/>
    <col min="6" max="6" width="17" style="2" hidden="1" customWidth="1"/>
    <col min="7" max="7" width="15.28515625" style="2" customWidth="1"/>
    <col min="8" max="8" width="16.85546875" style="2" customWidth="1"/>
    <col min="9" max="9" width="15.7109375" style="2" customWidth="1"/>
    <col min="10" max="10" width="15.7109375" style="2" hidden="1" customWidth="1"/>
    <col min="11" max="11" width="10.7109375" style="2" hidden="1" customWidth="1"/>
    <col min="12" max="12" width="19.28515625" style="2" customWidth="1"/>
    <col min="13" max="13" width="17" style="2" customWidth="1"/>
    <col min="14" max="14" width="15.140625" style="24" customWidth="1"/>
    <col min="15" max="15" width="14.85546875" style="24" customWidth="1"/>
    <col min="16" max="16" width="15.42578125" style="2" customWidth="1"/>
    <col min="17" max="17" width="17" style="2" customWidth="1"/>
    <col min="18" max="18" width="16.5703125" style="2" customWidth="1"/>
    <col min="19" max="247" width="10.140625" style="2"/>
    <col min="248" max="248" width="7.42578125" style="2" customWidth="1"/>
    <col min="249" max="249" width="10.42578125" style="2" bestFit="1" customWidth="1"/>
    <col min="250" max="250" width="10.85546875" style="2" customWidth="1"/>
    <col min="251" max="251" width="12" style="2" customWidth="1"/>
    <col min="252" max="253" width="12.5703125" style="2" customWidth="1"/>
    <col min="254" max="254" width="10.7109375" style="2" customWidth="1"/>
    <col min="255" max="255" width="11.28515625" style="2" customWidth="1"/>
    <col min="256" max="256" width="10.28515625" style="2" customWidth="1"/>
    <col min="257" max="257" width="10.5703125" style="2" customWidth="1"/>
    <col min="258" max="258" width="9.42578125" style="2" customWidth="1"/>
    <col min="259" max="259" width="10.85546875" style="2" customWidth="1"/>
    <col min="260" max="260" width="11.7109375" style="2" customWidth="1"/>
    <col min="261" max="261" width="10.42578125" style="2" customWidth="1"/>
    <col min="262" max="262" width="23" style="2" customWidth="1"/>
    <col min="263" max="263" width="10.28515625" style="2" bestFit="1" customWidth="1"/>
    <col min="264" max="264" width="16.28515625" style="2" bestFit="1" customWidth="1"/>
    <col min="265" max="265" width="20.5703125" style="2" bestFit="1" customWidth="1"/>
    <col min="266" max="503" width="10.140625" style="2"/>
    <col min="504" max="504" width="7.42578125" style="2" customWidth="1"/>
    <col min="505" max="505" width="10.42578125" style="2" bestFit="1" customWidth="1"/>
    <col min="506" max="506" width="10.85546875" style="2" customWidth="1"/>
    <col min="507" max="507" width="12" style="2" customWidth="1"/>
    <col min="508" max="509" width="12.5703125" style="2" customWidth="1"/>
    <col min="510" max="510" width="10.7109375" style="2" customWidth="1"/>
    <col min="511" max="511" width="11.28515625" style="2" customWidth="1"/>
    <col min="512" max="512" width="10.28515625" style="2" customWidth="1"/>
    <col min="513" max="513" width="10.5703125" style="2" customWidth="1"/>
    <col min="514" max="514" width="9.42578125" style="2" customWidth="1"/>
    <col min="515" max="515" width="10.85546875" style="2" customWidth="1"/>
    <col min="516" max="516" width="11.7109375" style="2" customWidth="1"/>
    <col min="517" max="517" width="10.42578125" style="2" customWidth="1"/>
    <col min="518" max="518" width="23" style="2" customWidth="1"/>
    <col min="519" max="519" width="10.28515625" style="2" bestFit="1" customWidth="1"/>
    <col min="520" max="520" width="16.28515625" style="2" bestFit="1" customWidth="1"/>
    <col min="521" max="521" width="20.5703125" style="2" bestFit="1" customWidth="1"/>
    <col min="522" max="759" width="10.140625" style="2"/>
    <col min="760" max="760" width="7.42578125" style="2" customWidth="1"/>
    <col min="761" max="761" width="10.42578125" style="2" bestFit="1" customWidth="1"/>
    <col min="762" max="762" width="10.85546875" style="2" customWidth="1"/>
    <col min="763" max="763" width="12" style="2" customWidth="1"/>
    <col min="764" max="765" width="12.5703125" style="2" customWidth="1"/>
    <col min="766" max="766" width="10.7109375" style="2" customWidth="1"/>
    <col min="767" max="767" width="11.28515625" style="2" customWidth="1"/>
    <col min="768" max="768" width="10.28515625" style="2" customWidth="1"/>
    <col min="769" max="769" width="10.5703125" style="2" customWidth="1"/>
    <col min="770" max="770" width="9.42578125" style="2" customWidth="1"/>
    <col min="771" max="771" width="10.85546875" style="2" customWidth="1"/>
    <col min="772" max="772" width="11.7109375" style="2" customWidth="1"/>
    <col min="773" max="773" width="10.42578125" style="2" customWidth="1"/>
    <col min="774" max="774" width="23" style="2" customWidth="1"/>
    <col min="775" max="775" width="10.28515625" style="2" bestFit="1" customWidth="1"/>
    <col min="776" max="776" width="16.28515625" style="2" bestFit="1" customWidth="1"/>
    <col min="777" max="777" width="20.5703125" style="2" bestFit="1" customWidth="1"/>
    <col min="778" max="1015" width="10.140625" style="2"/>
    <col min="1016" max="1016" width="7.42578125" style="2" customWidth="1"/>
    <col min="1017" max="1017" width="10.42578125" style="2" bestFit="1" customWidth="1"/>
    <col min="1018" max="1018" width="10.85546875" style="2" customWidth="1"/>
    <col min="1019" max="1019" width="12" style="2" customWidth="1"/>
    <col min="1020" max="1021" width="12.5703125" style="2" customWidth="1"/>
    <col min="1022" max="1022" width="10.7109375" style="2" customWidth="1"/>
    <col min="1023" max="1023" width="11.28515625" style="2" customWidth="1"/>
    <col min="1024" max="1024" width="10.28515625" style="2" customWidth="1"/>
    <col min="1025" max="1025" width="10.5703125" style="2" customWidth="1"/>
    <col min="1026" max="1026" width="9.42578125" style="2" customWidth="1"/>
    <col min="1027" max="1027" width="10.85546875" style="2" customWidth="1"/>
    <col min="1028" max="1028" width="11.7109375" style="2" customWidth="1"/>
    <col min="1029" max="1029" width="10.42578125" style="2" customWidth="1"/>
    <col min="1030" max="1030" width="23" style="2" customWidth="1"/>
    <col min="1031" max="1031" width="10.28515625" style="2" bestFit="1" customWidth="1"/>
    <col min="1032" max="1032" width="16.28515625" style="2" bestFit="1" customWidth="1"/>
    <col min="1033" max="1033" width="20.5703125" style="2" bestFit="1" customWidth="1"/>
    <col min="1034" max="1271" width="10.140625" style="2"/>
    <col min="1272" max="1272" width="7.42578125" style="2" customWidth="1"/>
    <col min="1273" max="1273" width="10.42578125" style="2" bestFit="1" customWidth="1"/>
    <col min="1274" max="1274" width="10.85546875" style="2" customWidth="1"/>
    <col min="1275" max="1275" width="12" style="2" customWidth="1"/>
    <col min="1276" max="1277" width="12.5703125" style="2" customWidth="1"/>
    <col min="1278" max="1278" width="10.7109375" style="2" customWidth="1"/>
    <col min="1279" max="1279" width="11.28515625" style="2" customWidth="1"/>
    <col min="1280" max="1280" width="10.28515625" style="2" customWidth="1"/>
    <col min="1281" max="1281" width="10.5703125" style="2" customWidth="1"/>
    <col min="1282" max="1282" width="9.42578125" style="2" customWidth="1"/>
    <col min="1283" max="1283" width="10.85546875" style="2" customWidth="1"/>
    <col min="1284" max="1284" width="11.7109375" style="2" customWidth="1"/>
    <col min="1285" max="1285" width="10.42578125" style="2" customWidth="1"/>
    <col min="1286" max="1286" width="23" style="2" customWidth="1"/>
    <col min="1287" max="1287" width="10.28515625" style="2" bestFit="1" customWidth="1"/>
    <col min="1288" max="1288" width="16.28515625" style="2" bestFit="1" customWidth="1"/>
    <col min="1289" max="1289" width="20.5703125" style="2" bestFit="1" customWidth="1"/>
    <col min="1290" max="1527" width="10.140625" style="2"/>
    <col min="1528" max="1528" width="7.42578125" style="2" customWidth="1"/>
    <col min="1529" max="1529" width="10.42578125" style="2" bestFit="1" customWidth="1"/>
    <col min="1530" max="1530" width="10.85546875" style="2" customWidth="1"/>
    <col min="1531" max="1531" width="12" style="2" customWidth="1"/>
    <col min="1532" max="1533" width="12.5703125" style="2" customWidth="1"/>
    <col min="1534" max="1534" width="10.7109375" style="2" customWidth="1"/>
    <col min="1535" max="1535" width="11.28515625" style="2" customWidth="1"/>
    <col min="1536" max="1536" width="10.28515625" style="2" customWidth="1"/>
    <col min="1537" max="1537" width="10.5703125" style="2" customWidth="1"/>
    <col min="1538" max="1538" width="9.42578125" style="2" customWidth="1"/>
    <col min="1539" max="1539" width="10.85546875" style="2" customWidth="1"/>
    <col min="1540" max="1540" width="11.7109375" style="2" customWidth="1"/>
    <col min="1541" max="1541" width="10.42578125" style="2" customWidth="1"/>
    <col min="1542" max="1542" width="23" style="2" customWidth="1"/>
    <col min="1543" max="1543" width="10.28515625" style="2" bestFit="1" customWidth="1"/>
    <col min="1544" max="1544" width="16.28515625" style="2" bestFit="1" customWidth="1"/>
    <col min="1545" max="1545" width="20.5703125" style="2" bestFit="1" customWidth="1"/>
    <col min="1546" max="1783" width="10.140625" style="2"/>
    <col min="1784" max="1784" width="7.42578125" style="2" customWidth="1"/>
    <col min="1785" max="1785" width="10.42578125" style="2" bestFit="1" customWidth="1"/>
    <col min="1786" max="1786" width="10.85546875" style="2" customWidth="1"/>
    <col min="1787" max="1787" width="12" style="2" customWidth="1"/>
    <col min="1788" max="1789" width="12.5703125" style="2" customWidth="1"/>
    <col min="1790" max="1790" width="10.7109375" style="2" customWidth="1"/>
    <col min="1791" max="1791" width="11.28515625" style="2" customWidth="1"/>
    <col min="1792" max="1792" width="10.28515625" style="2" customWidth="1"/>
    <col min="1793" max="1793" width="10.5703125" style="2" customWidth="1"/>
    <col min="1794" max="1794" width="9.42578125" style="2" customWidth="1"/>
    <col min="1795" max="1795" width="10.85546875" style="2" customWidth="1"/>
    <col min="1796" max="1796" width="11.7109375" style="2" customWidth="1"/>
    <col min="1797" max="1797" width="10.42578125" style="2" customWidth="1"/>
    <col min="1798" max="1798" width="23" style="2" customWidth="1"/>
    <col min="1799" max="1799" width="10.28515625" style="2" bestFit="1" customWidth="1"/>
    <col min="1800" max="1800" width="16.28515625" style="2" bestFit="1" customWidth="1"/>
    <col min="1801" max="1801" width="20.5703125" style="2" bestFit="1" customWidth="1"/>
    <col min="1802" max="2039" width="10.140625" style="2"/>
    <col min="2040" max="2040" width="7.42578125" style="2" customWidth="1"/>
    <col min="2041" max="2041" width="10.42578125" style="2" bestFit="1" customWidth="1"/>
    <col min="2042" max="2042" width="10.85546875" style="2" customWidth="1"/>
    <col min="2043" max="2043" width="12" style="2" customWidth="1"/>
    <col min="2044" max="2045" width="12.5703125" style="2" customWidth="1"/>
    <col min="2046" max="2046" width="10.7109375" style="2" customWidth="1"/>
    <col min="2047" max="2047" width="11.28515625" style="2" customWidth="1"/>
    <col min="2048" max="2048" width="10.28515625" style="2" customWidth="1"/>
    <col min="2049" max="2049" width="10.5703125" style="2" customWidth="1"/>
    <col min="2050" max="2050" width="9.42578125" style="2" customWidth="1"/>
    <col min="2051" max="2051" width="10.85546875" style="2" customWidth="1"/>
    <col min="2052" max="2052" width="11.7109375" style="2" customWidth="1"/>
    <col min="2053" max="2053" width="10.42578125" style="2" customWidth="1"/>
    <col min="2054" max="2054" width="23" style="2" customWidth="1"/>
    <col min="2055" max="2055" width="10.28515625" style="2" bestFit="1" customWidth="1"/>
    <col min="2056" max="2056" width="16.28515625" style="2" bestFit="1" customWidth="1"/>
    <col min="2057" max="2057" width="20.5703125" style="2" bestFit="1" customWidth="1"/>
    <col min="2058" max="2295" width="10.140625" style="2"/>
    <col min="2296" max="2296" width="7.42578125" style="2" customWidth="1"/>
    <col min="2297" max="2297" width="10.42578125" style="2" bestFit="1" customWidth="1"/>
    <col min="2298" max="2298" width="10.85546875" style="2" customWidth="1"/>
    <col min="2299" max="2299" width="12" style="2" customWidth="1"/>
    <col min="2300" max="2301" width="12.5703125" style="2" customWidth="1"/>
    <col min="2302" max="2302" width="10.7109375" style="2" customWidth="1"/>
    <col min="2303" max="2303" width="11.28515625" style="2" customWidth="1"/>
    <col min="2304" max="2304" width="10.28515625" style="2" customWidth="1"/>
    <col min="2305" max="2305" width="10.5703125" style="2" customWidth="1"/>
    <col min="2306" max="2306" width="9.42578125" style="2" customWidth="1"/>
    <col min="2307" max="2307" width="10.85546875" style="2" customWidth="1"/>
    <col min="2308" max="2308" width="11.7109375" style="2" customWidth="1"/>
    <col min="2309" max="2309" width="10.42578125" style="2" customWidth="1"/>
    <col min="2310" max="2310" width="23" style="2" customWidth="1"/>
    <col min="2311" max="2311" width="10.28515625" style="2" bestFit="1" customWidth="1"/>
    <col min="2312" max="2312" width="16.28515625" style="2" bestFit="1" customWidth="1"/>
    <col min="2313" max="2313" width="20.5703125" style="2" bestFit="1" customWidth="1"/>
    <col min="2314" max="2551" width="10.140625" style="2"/>
    <col min="2552" max="2552" width="7.42578125" style="2" customWidth="1"/>
    <col min="2553" max="2553" width="10.42578125" style="2" bestFit="1" customWidth="1"/>
    <col min="2554" max="2554" width="10.85546875" style="2" customWidth="1"/>
    <col min="2555" max="2555" width="12" style="2" customWidth="1"/>
    <col min="2556" max="2557" width="12.5703125" style="2" customWidth="1"/>
    <col min="2558" max="2558" width="10.7109375" style="2" customWidth="1"/>
    <col min="2559" max="2559" width="11.28515625" style="2" customWidth="1"/>
    <col min="2560" max="2560" width="10.28515625" style="2" customWidth="1"/>
    <col min="2561" max="2561" width="10.5703125" style="2" customWidth="1"/>
    <col min="2562" max="2562" width="9.42578125" style="2" customWidth="1"/>
    <col min="2563" max="2563" width="10.85546875" style="2" customWidth="1"/>
    <col min="2564" max="2564" width="11.7109375" style="2" customWidth="1"/>
    <col min="2565" max="2565" width="10.42578125" style="2" customWidth="1"/>
    <col min="2566" max="2566" width="23" style="2" customWidth="1"/>
    <col min="2567" max="2567" width="10.28515625" style="2" bestFit="1" customWidth="1"/>
    <col min="2568" max="2568" width="16.28515625" style="2" bestFit="1" customWidth="1"/>
    <col min="2569" max="2569" width="20.5703125" style="2" bestFit="1" customWidth="1"/>
    <col min="2570" max="2807" width="10.140625" style="2"/>
    <col min="2808" max="2808" width="7.42578125" style="2" customWidth="1"/>
    <col min="2809" max="2809" width="10.42578125" style="2" bestFit="1" customWidth="1"/>
    <col min="2810" max="2810" width="10.85546875" style="2" customWidth="1"/>
    <col min="2811" max="2811" width="12" style="2" customWidth="1"/>
    <col min="2812" max="2813" width="12.5703125" style="2" customWidth="1"/>
    <col min="2814" max="2814" width="10.7109375" style="2" customWidth="1"/>
    <col min="2815" max="2815" width="11.28515625" style="2" customWidth="1"/>
    <col min="2816" max="2816" width="10.28515625" style="2" customWidth="1"/>
    <col min="2817" max="2817" width="10.5703125" style="2" customWidth="1"/>
    <col min="2818" max="2818" width="9.42578125" style="2" customWidth="1"/>
    <col min="2819" max="2819" width="10.85546875" style="2" customWidth="1"/>
    <col min="2820" max="2820" width="11.7109375" style="2" customWidth="1"/>
    <col min="2821" max="2821" width="10.42578125" style="2" customWidth="1"/>
    <col min="2822" max="2822" width="23" style="2" customWidth="1"/>
    <col min="2823" max="2823" width="10.28515625" style="2" bestFit="1" customWidth="1"/>
    <col min="2824" max="2824" width="16.28515625" style="2" bestFit="1" customWidth="1"/>
    <col min="2825" max="2825" width="20.5703125" style="2" bestFit="1" customWidth="1"/>
    <col min="2826" max="3063" width="10.140625" style="2"/>
    <col min="3064" max="3064" width="7.42578125" style="2" customWidth="1"/>
    <col min="3065" max="3065" width="10.42578125" style="2" bestFit="1" customWidth="1"/>
    <col min="3066" max="3066" width="10.85546875" style="2" customWidth="1"/>
    <col min="3067" max="3067" width="12" style="2" customWidth="1"/>
    <col min="3068" max="3069" width="12.5703125" style="2" customWidth="1"/>
    <col min="3070" max="3070" width="10.7109375" style="2" customWidth="1"/>
    <col min="3071" max="3071" width="11.28515625" style="2" customWidth="1"/>
    <col min="3072" max="3072" width="10.28515625" style="2" customWidth="1"/>
    <col min="3073" max="3073" width="10.5703125" style="2" customWidth="1"/>
    <col min="3074" max="3074" width="9.42578125" style="2" customWidth="1"/>
    <col min="3075" max="3075" width="10.85546875" style="2" customWidth="1"/>
    <col min="3076" max="3076" width="11.7109375" style="2" customWidth="1"/>
    <col min="3077" max="3077" width="10.42578125" style="2" customWidth="1"/>
    <col min="3078" max="3078" width="23" style="2" customWidth="1"/>
    <col min="3079" max="3079" width="10.28515625" style="2" bestFit="1" customWidth="1"/>
    <col min="3080" max="3080" width="16.28515625" style="2" bestFit="1" customWidth="1"/>
    <col min="3081" max="3081" width="20.5703125" style="2" bestFit="1" customWidth="1"/>
    <col min="3082" max="3319" width="10.140625" style="2"/>
    <col min="3320" max="3320" width="7.42578125" style="2" customWidth="1"/>
    <col min="3321" max="3321" width="10.42578125" style="2" bestFit="1" customWidth="1"/>
    <col min="3322" max="3322" width="10.85546875" style="2" customWidth="1"/>
    <col min="3323" max="3323" width="12" style="2" customWidth="1"/>
    <col min="3324" max="3325" width="12.5703125" style="2" customWidth="1"/>
    <col min="3326" max="3326" width="10.7109375" style="2" customWidth="1"/>
    <col min="3327" max="3327" width="11.28515625" style="2" customWidth="1"/>
    <col min="3328" max="3328" width="10.28515625" style="2" customWidth="1"/>
    <col min="3329" max="3329" width="10.5703125" style="2" customWidth="1"/>
    <col min="3330" max="3330" width="9.42578125" style="2" customWidth="1"/>
    <col min="3331" max="3331" width="10.85546875" style="2" customWidth="1"/>
    <col min="3332" max="3332" width="11.7109375" style="2" customWidth="1"/>
    <col min="3333" max="3333" width="10.42578125" style="2" customWidth="1"/>
    <col min="3334" max="3334" width="23" style="2" customWidth="1"/>
    <col min="3335" max="3335" width="10.28515625" style="2" bestFit="1" customWidth="1"/>
    <col min="3336" max="3336" width="16.28515625" style="2" bestFit="1" customWidth="1"/>
    <col min="3337" max="3337" width="20.5703125" style="2" bestFit="1" customWidth="1"/>
    <col min="3338" max="3575" width="10.140625" style="2"/>
    <col min="3576" max="3576" width="7.42578125" style="2" customWidth="1"/>
    <col min="3577" max="3577" width="10.42578125" style="2" bestFit="1" customWidth="1"/>
    <col min="3578" max="3578" width="10.85546875" style="2" customWidth="1"/>
    <col min="3579" max="3579" width="12" style="2" customWidth="1"/>
    <col min="3580" max="3581" width="12.5703125" style="2" customWidth="1"/>
    <col min="3582" max="3582" width="10.7109375" style="2" customWidth="1"/>
    <col min="3583" max="3583" width="11.28515625" style="2" customWidth="1"/>
    <col min="3584" max="3584" width="10.28515625" style="2" customWidth="1"/>
    <col min="3585" max="3585" width="10.5703125" style="2" customWidth="1"/>
    <col min="3586" max="3586" width="9.42578125" style="2" customWidth="1"/>
    <col min="3587" max="3587" width="10.85546875" style="2" customWidth="1"/>
    <col min="3588" max="3588" width="11.7109375" style="2" customWidth="1"/>
    <col min="3589" max="3589" width="10.42578125" style="2" customWidth="1"/>
    <col min="3590" max="3590" width="23" style="2" customWidth="1"/>
    <col min="3591" max="3591" width="10.28515625" style="2" bestFit="1" customWidth="1"/>
    <col min="3592" max="3592" width="16.28515625" style="2" bestFit="1" customWidth="1"/>
    <col min="3593" max="3593" width="20.5703125" style="2" bestFit="1" customWidth="1"/>
    <col min="3594" max="3831" width="10.140625" style="2"/>
    <col min="3832" max="3832" width="7.42578125" style="2" customWidth="1"/>
    <col min="3833" max="3833" width="10.42578125" style="2" bestFit="1" customWidth="1"/>
    <col min="3834" max="3834" width="10.85546875" style="2" customWidth="1"/>
    <col min="3835" max="3835" width="12" style="2" customWidth="1"/>
    <col min="3836" max="3837" width="12.5703125" style="2" customWidth="1"/>
    <col min="3838" max="3838" width="10.7109375" style="2" customWidth="1"/>
    <col min="3839" max="3839" width="11.28515625" style="2" customWidth="1"/>
    <col min="3840" max="3840" width="10.28515625" style="2" customWidth="1"/>
    <col min="3841" max="3841" width="10.5703125" style="2" customWidth="1"/>
    <col min="3842" max="3842" width="9.42578125" style="2" customWidth="1"/>
    <col min="3843" max="3843" width="10.85546875" style="2" customWidth="1"/>
    <col min="3844" max="3844" width="11.7109375" style="2" customWidth="1"/>
    <col min="3845" max="3845" width="10.42578125" style="2" customWidth="1"/>
    <col min="3846" max="3846" width="23" style="2" customWidth="1"/>
    <col min="3847" max="3847" width="10.28515625" style="2" bestFit="1" customWidth="1"/>
    <col min="3848" max="3848" width="16.28515625" style="2" bestFit="1" customWidth="1"/>
    <col min="3849" max="3849" width="20.5703125" style="2" bestFit="1" customWidth="1"/>
    <col min="3850" max="4087" width="10.140625" style="2"/>
    <col min="4088" max="4088" width="7.42578125" style="2" customWidth="1"/>
    <col min="4089" max="4089" width="10.42578125" style="2" bestFit="1" customWidth="1"/>
    <col min="4090" max="4090" width="10.85546875" style="2" customWidth="1"/>
    <col min="4091" max="4091" width="12" style="2" customWidth="1"/>
    <col min="4092" max="4093" width="12.5703125" style="2" customWidth="1"/>
    <col min="4094" max="4094" width="10.7109375" style="2" customWidth="1"/>
    <col min="4095" max="4095" width="11.28515625" style="2" customWidth="1"/>
    <col min="4096" max="4096" width="10.28515625" style="2" customWidth="1"/>
    <col min="4097" max="4097" width="10.5703125" style="2" customWidth="1"/>
    <col min="4098" max="4098" width="9.42578125" style="2" customWidth="1"/>
    <col min="4099" max="4099" width="10.85546875" style="2" customWidth="1"/>
    <col min="4100" max="4100" width="11.7109375" style="2" customWidth="1"/>
    <col min="4101" max="4101" width="10.42578125" style="2" customWidth="1"/>
    <col min="4102" max="4102" width="23" style="2" customWidth="1"/>
    <col min="4103" max="4103" width="10.28515625" style="2" bestFit="1" customWidth="1"/>
    <col min="4104" max="4104" width="16.28515625" style="2" bestFit="1" customWidth="1"/>
    <col min="4105" max="4105" width="20.5703125" style="2" bestFit="1" customWidth="1"/>
    <col min="4106" max="4343" width="10.140625" style="2"/>
    <col min="4344" max="4344" width="7.42578125" style="2" customWidth="1"/>
    <col min="4345" max="4345" width="10.42578125" style="2" bestFit="1" customWidth="1"/>
    <col min="4346" max="4346" width="10.85546875" style="2" customWidth="1"/>
    <col min="4347" max="4347" width="12" style="2" customWidth="1"/>
    <col min="4348" max="4349" width="12.5703125" style="2" customWidth="1"/>
    <col min="4350" max="4350" width="10.7109375" style="2" customWidth="1"/>
    <col min="4351" max="4351" width="11.28515625" style="2" customWidth="1"/>
    <col min="4352" max="4352" width="10.28515625" style="2" customWidth="1"/>
    <col min="4353" max="4353" width="10.5703125" style="2" customWidth="1"/>
    <col min="4354" max="4354" width="9.42578125" style="2" customWidth="1"/>
    <col min="4355" max="4355" width="10.85546875" style="2" customWidth="1"/>
    <col min="4356" max="4356" width="11.7109375" style="2" customWidth="1"/>
    <col min="4357" max="4357" width="10.42578125" style="2" customWidth="1"/>
    <col min="4358" max="4358" width="23" style="2" customWidth="1"/>
    <col min="4359" max="4359" width="10.28515625" style="2" bestFit="1" customWidth="1"/>
    <col min="4360" max="4360" width="16.28515625" style="2" bestFit="1" customWidth="1"/>
    <col min="4361" max="4361" width="20.5703125" style="2" bestFit="1" customWidth="1"/>
    <col min="4362" max="4599" width="10.140625" style="2"/>
    <col min="4600" max="4600" width="7.42578125" style="2" customWidth="1"/>
    <col min="4601" max="4601" width="10.42578125" style="2" bestFit="1" customWidth="1"/>
    <col min="4602" max="4602" width="10.85546875" style="2" customWidth="1"/>
    <col min="4603" max="4603" width="12" style="2" customWidth="1"/>
    <col min="4604" max="4605" width="12.5703125" style="2" customWidth="1"/>
    <col min="4606" max="4606" width="10.7109375" style="2" customWidth="1"/>
    <col min="4607" max="4607" width="11.28515625" style="2" customWidth="1"/>
    <col min="4608" max="4608" width="10.28515625" style="2" customWidth="1"/>
    <col min="4609" max="4609" width="10.5703125" style="2" customWidth="1"/>
    <col min="4610" max="4610" width="9.42578125" style="2" customWidth="1"/>
    <col min="4611" max="4611" width="10.85546875" style="2" customWidth="1"/>
    <col min="4612" max="4612" width="11.7109375" style="2" customWidth="1"/>
    <col min="4613" max="4613" width="10.42578125" style="2" customWidth="1"/>
    <col min="4614" max="4614" width="23" style="2" customWidth="1"/>
    <col min="4615" max="4615" width="10.28515625" style="2" bestFit="1" customWidth="1"/>
    <col min="4616" max="4616" width="16.28515625" style="2" bestFit="1" customWidth="1"/>
    <col min="4617" max="4617" width="20.5703125" style="2" bestFit="1" customWidth="1"/>
    <col min="4618" max="4855" width="10.140625" style="2"/>
    <col min="4856" max="4856" width="7.42578125" style="2" customWidth="1"/>
    <col min="4857" max="4857" width="10.42578125" style="2" bestFit="1" customWidth="1"/>
    <col min="4858" max="4858" width="10.85546875" style="2" customWidth="1"/>
    <col min="4859" max="4859" width="12" style="2" customWidth="1"/>
    <col min="4860" max="4861" width="12.5703125" style="2" customWidth="1"/>
    <col min="4862" max="4862" width="10.7109375" style="2" customWidth="1"/>
    <col min="4863" max="4863" width="11.28515625" style="2" customWidth="1"/>
    <col min="4864" max="4864" width="10.28515625" style="2" customWidth="1"/>
    <col min="4865" max="4865" width="10.5703125" style="2" customWidth="1"/>
    <col min="4866" max="4866" width="9.42578125" style="2" customWidth="1"/>
    <col min="4867" max="4867" width="10.85546875" style="2" customWidth="1"/>
    <col min="4868" max="4868" width="11.7109375" style="2" customWidth="1"/>
    <col min="4869" max="4869" width="10.42578125" style="2" customWidth="1"/>
    <col min="4870" max="4870" width="23" style="2" customWidth="1"/>
    <col min="4871" max="4871" width="10.28515625" style="2" bestFit="1" customWidth="1"/>
    <col min="4872" max="4872" width="16.28515625" style="2" bestFit="1" customWidth="1"/>
    <col min="4873" max="4873" width="20.5703125" style="2" bestFit="1" customWidth="1"/>
    <col min="4874" max="5111" width="10.140625" style="2"/>
    <col min="5112" max="5112" width="7.42578125" style="2" customWidth="1"/>
    <col min="5113" max="5113" width="10.42578125" style="2" bestFit="1" customWidth="1"/>
    <col min="5114" max="5114" width="10.85546875" style="2" customWidth="1"/>
    <col min="5115" max="5115" width="12" style="2" customWidth="1"/>
    <col min="5116" max="5117" width="12.5703125" style="2" customWidth="1"/>
    <col min="5118" max="5118" width="10.7109375" style="2" customWidth="1"/>
    <col min="5119" max="5119" width="11.28515625" style="2" customWidth="1"/>
    <col min="5120" max="5120" width="10.28515625" style="2" customWidth="1"/>
    <col min="5121" max="5121" width="10.5703125" style="2" customWidth="1"/>
    <col min="5122" max="5122" width="9.42578125" style="2" customWidth="1"/>
    <col min="5123" max="5123" width="10.85546875" style="2" customWidth="1"/>
    <col min="5124" max="5124" width="11.7109375" style="2" customWidth="1"/>
    <col min="5125" max="5125" width="10.42578125" style="2" customWidth="1"/>
    <col min="5126" max="5126" width="23" style="2" customWidth="1"/>
    <col min="5127" max="5127" width="10.28515625" style="2" bestFit="1" customWidth="1"/>
    <col min="5128" max="5128" width="16.28515625" style="2" bestFit="1" customWidth="1"/>
    <col min="5129" max="5129" width="20.5703125" style="2" bestFit="1" customWidth="1"/>
    <col min="5130" max="5367" width="10.140625" style="2"/>
    <col min="5368" max="5368" width="7.42578125" style="2" customWidth="1"/>
    <col min="5369" max="5369" width="10.42578125" style="2" bestFit="1" customWidth="1"/>
    <col min="5370" max="5370" width="10.85546875" style="2" customWidth="1"/>
    <col min="5371" max="5371" width="12" style="2" customWidth="1"/>
    <col min="5372" max="5373" width="12.5703125" style="2" customWidth="1"/>
    <col min="5374" max="5374" width="10.7109375" style="2" customWidth="1"/>
    <col min="5375" max="5375" width="11.28515625" style="2" customWidth="1"/>
    <col min="5376" max="5376" width="10.28515625" style="2" customWidth="1"/>
    <col min="5377" max="5377" width="10.5703125" style="2" customWidth="1"/>
    <col min="5378" max="5378" width="9.42578125" style="2" customWidth="1"/>
    <col min="5379" max="5379" width="10.85546875" style="2" customWidth="1"/>
    <col min="5380" max="5380" width="11.7109375" style="2" customWidth="1"/>
    <col min="5381" max="5381" width="10.42578125" style="2" customWidth="1"/>
    <col min="5382" max="5382" width="23" style="2" customWidth="1"/>
    <col min="5383" max="5383" width="10.28515625" style="2" bestFit="1" customWidth="1"/>
    <col min="5384" max="5384" width="16.28515625" style="2" bestFit="1" customWidth="1"/>
    <col min="5385" max="5385" width="20.5703125" style="2" bestFit="1" customWidth="1"/>
    <col min="5386" max="5623" width="10.140625" style="2"/>
    <col min="5624" max="5624" width="7.42578125" style="2" customWidth="1"/>
    <col min="5625" max="5625" width="10.42578125" style="2" bestFit="1" customWidth="1"/>
    <col min="5626" max="5626" width="10.85546875" style="2" customWidth="1"/>
    <col min="5627" max="5627" width="12" style="2" customWidth="1"/>
    <col min="5628" max="5629" width="12.5703125" style="2" customWidth="1"/>
    <col min="5630" max="5630" width="10.7109375" style="2" customWidth="1"/>
    <col min="5631" max="5631" width="11.28515625" style="2" customWidth="1"/>
    <col min="5632" max="5632" width="10.28515625" style="2" customWidth="1"/>
    <col min="5633" max="5633" width="10.5703125" style="2" customWidth="1"/>
    <col min="5634" max="5634" width="9.42578125" style="2" customWidth="1"/>
    <col min="5635" max="5635" width="10.85546875" style="2" customWidth="1"/>
    <col min="5636" max="5636" width="11.7109375" style="2" customWidth="1"/>
    <col min="5637" max="5637" width="10.42578125" style="2" customWidth="1"/>
    <col min="5638" max="5638" width="23" style="2" customWidth="1"/>
    <col min="5639" max="5639" width="10.28515625" style="2" bestFit="1" customWidth="1"/>
    <col min="5640" max="5640" width="16.28515625" style="2" bestFit="1" customWidth="1"/>
    <col min="5641" max="5641" width="20.5703125" style="2" bestFit="1" customWidth="1"/>
    <col min="5642" max="5879" width="10.140625" style="2"/>
    <col min="5880" max="5880" width="7.42578125" style="2" customWidth="1"/>
    <col min="5881" max="5881" width="10.42578125" style="2" bestFit="1" customWidth="1"/>
    <col min="5882" max="5882" width="10.85546875" style="2" customWidth="1"/>
    <col min="5883" max="5883" width="12" style="2" customWidth="1"/>
    <col min="5884" max="5885" width="12.5703125" style="2" customWidth="1"/>
    <col min="5886" max="5886" width="10.7109375" style="2" customWidth="1"/>
    <col min="5887" max="5887" width="11.28515625" style="2" customWidth="1"/>
    <col min="5888" max="5888" width="10.28515625" style="2" customWidth="1"/>
    <col min="5889" max="5889" width="10.5703125" style="2" customWidth="1"/>
    <col min="5890" max="5890" width="9.42578125" style="2" customWidth="1"/>
    <col min="5891" max="5891" width="10.85546875" style="2" customWidth="1"/>
    <col min="5892" max="5892" width="11.7109375" style="2" customWidth="1"/>
    <col min="5893" max="5893" width="10.42578125" style="2" customWidth="1"/>
    <col min="5894" max="5894" width="23" style="2" customWidth="1"/>
    <col min="5895" max="5895" width="10.28515625" style="2" bestFit="1" customWidth="1"/>
    <col min="5896" max="5896" width="16.28515625" style="2" bestFit="1" customWidth="1"/>
    <col min="5897" max="5897" width="20.5703125" style="2" bestFit="1" customWidth="1"/>
    <col min="5898" max="6135" width="10.140625" style="2"/>
    <col min="6136" max="6136" width="7.42578125" style="2" customWidth="1"/>
    <col min="6137" max="6137" width="10.42578125" style="2" bestFit="1" customWidth="1"/>
    <col min="6138" max="6138" width="10.85546875" style="2" customWidth="1"/>
    <col min="6139" max="6139" width="12" style="2" customWidth="1"/>
    <col min="6140" max="6141" width="12.5703125" style="2" customWidth="1"/>
    <col min="6142" max="6142" width="10.7109375" style="2" customWidth="1"/>
    <col min="6143" max="6143" width="11.28515625" style="2" customWidth="1"/>
    <col min="6144" max="6144" width="10.28515625" style="2" customWidth="1"/>
    <col min="6145" max="6145" width="10.5703125" style="2" customWidth="1"/>
    <col min="6146" max="6146" width="9.42578125" style="2" customWidth="1"/>
    <col min="6147" max="6147" width="10.85546875" style="2" customWidth="1"/>
    <col min="6148" max="6148" width="11.7109375" style="2" customWidth="1"/>
    <col min="6149" max="6149" width="10.42578125" style="2" customWidth="1"/>
    <col min="6150" max="6150" width="23" style="2" customWidth="1"/>
    <col min="6151" max="6151" width="10.28515625" style="2" bestFit="1" customWidth="1"/>
    <col min="6152" max="6152" width="16.28515625" style="2" bestFit="1" customWidth="1"/>
    <col min="6153" max="6153" width="20.5703125" style="2" bestFit="1" customWidth="1"/>
    <col min="6154" max="6391" width="10.140625" style="2"/>
    <col min="6392" max="6392" width="7.42578125" style="2" customWidth="1"/>
    <col min="6393" max="6393" width="10.42578125" style="2" bestFit="1" customWidth="1"/>
    <col min="6394" max="6394" width="10.85546875" style="2" customWidth="1"/>
    <col min="6395" max="6395" width="12" style="2" customWidth="1"/>
    <col min="6396" max="6397" width="12.5703125" style="2" customWidth="1"/>
    <col min="6398" max="6398" width="10.7109375" style="2" customWidth="1"/>
    <col min="6399" max="6399" width="11.28515625" style="2" customWidth="1"/>
    <col min="6400" max="6400" width="10.28515625" style="2" customWidth="1"/>
    <col min="6401" max="6401" width="10.5703125" style="2" customWidth="1"/>
    <col min="6402" max="6402" width="9.42578125" style="2" customWidth="1"/>
    <col min="6403" max="6403" width="10.85546875" style="2" customWidth="1"/>
    <col min="6404" max="6404" width="11.7109375" style="2" customWidth="1"/>
    <col min="6405" max="6405" width="10.42578125" style="2" customWidth="1"/>
    <col min="6406" max="6406" width="23" style="2" customWidth="1"/>
    <col min="6407" max="6407" width="10.28515625" style="2" bestFit="1" customWidth="1"/>
    <col min="6408" max="6408" width="16.28515625" style="2" bestFit="1" customWidth="1"/>
    <col min="6409" max="6409" width="20.5703125" style="2" bestFit="1" customWidth="1"/>
    <col min="6410" max="6647" width="10.140625" style="2"/>
    <col min="6648" max="6648" width="7.42578125" style="2" customWidth="1"/>
    <col min="6649" max="6649" width="10.42578125" style="2" bestFit="1" customWidth="1"/>
    <col min="6650" max="6650" width="10.85546875" style="2" customWidth="1"/>
    <col min="6651" max="6651" width="12" style="2" customWidth="1"/>
    <col min="6652" max="6653" width="12.5703125" style="2" customWidth="1"/>
    <col min="6654" max="6654" width="10.7109375" style="2" customWidth="1"/>
    <col min="6655" max="6655" width="11.28515625" style="2" customWidth="1"/>
    <col min="6656" max="6656" width="10.28515625" style="2" customWidth="1"/>
    <col min="6657" max="6657" width="10.5703125" style="2" customWidth="1"/>
    <col min="6658" max="6658" width="9.42578125" style="2" customWidth="1"/>
    <col min="6659" max="6659" width="10.85546875" style="2" customWidth="1"/>
    <col min="6660" max="6660" width="11.7109375" style="2" customWidth="1"/>
    <col min="6661" max="6661" width="10.42578125" style="2" customWidth="1"/>
    <col min="6662" max="6662" width="23" style="2" customWidth="1"/>
    <col min="6663" max="6663" width="10.28515625" style="2" bestFit="1" customWidth="1"/>
    <col min="6664" max="6664" width="16.28515625" style="2" bestFit="1" customWidth="1"/>
    <col min="6665" max="6665" width="20.5703125" style="2" bestFit="1" customWidth="1"/>
    <col min="6666" max="6903" width="10.140625" style="2"/>
    <col min="6904" max="6904" width="7.42578125" style="2" customWidth="1"/>
    <col min="6905" max="6905" width="10.42578125" style="2" bestFit="1" customWidth="1"/>
    <col min="6906" max="6906" width="10.85546875" style="2" customWidth="1"/>
    <col min="6907" max="6907" width="12" style="2" customWidth="1"/>
    <col min="6908" max="6909" width="12.5703125" style="2" customWidth="1"/>
    <col min="6910" max="6910" width="10.7109375" style="2" customWidth="1"/>
    <col min="6911" max="6911" width="11.28515625" style="2" customWidth="1"/>
    <col min="6912" max="6912" width="10.28515625" style="2" customWidth="1"/>
    <col min="6913" max="6913" width="10.5703125" style="2" customWidth="1"/>
    <col min="6914" max="6914" width="9.42578125" style="2" customWidth="1"/>
    <col min="6915" max="6915" width="10.85546875" style="2" customWidth="1"/>
    <col min="6916" max="6916" width="11.7109375" style="2" customWidth="1"/>
    <col min="6917" max="6917" width="10.42578125" style="2" customWidth="1"/>
    <col min="6918" max="6918" width="23" style="2" customWidth="1"/>
    <col min="6919" max="6919" width="10.28515625" style="2" bestFit="1" customWidth="1"/>
    <col min="6920" max="6920" width="16.28515625" style="2" bestFit="1" customWidth="1"/>
    <col min="6921" max="6921" width="20.5703125" style="2" bestFit="1" customWidth="1"/>
    <col min="6922" max="7159" width="10.140625" style="2"/>
    <col min="7160" max="7160" width="7.42578125" style="2" customWidth="1"/>
    <col min="7161" max="7161" width="10.42578125" style="2" bestFit="1" customWidth="1"/>
    <col min="7162" max="7162" width="10.85546875" style="2" customWidth="1"/>
    <col min="7163" max="7163" width="12" style="2" customWidth="1"/>
    <col min="7164" max="7165" width="12.5703125" style="2" customWidth="1"/>
    <col min="7166" max="7166" width="10.7109375" style="2" customWidth="1"/>
    <col min="7167" max="7167" width="11.28515625" style="2" customWidth="1"/>
    <col min="7168" max="7168" width="10.28515625" style="2" customWidth="1"/>
    <col min="7169" max="7169" width="10.5703125" style="2" customWidth="1"/>
    <col min="7170" max="7170" width="9.42578125" style="2" customWidth="1"/>
    <col min="7171" max="7171" width="10.85546875" style="2" customWidth="1"/>
    <col min="7172" max="7172" width="11.7109375" style="2" customWidth="1"/>
    <col min="7173" max="7173" width="10.42578125" style="2" customWidth="1"/>
    <col min="7174" max="7174" width="23" style="2" customWidth="1"/>
    <col min="7175" max="7175" width="10.28515625" style="2" bestFit="1" customWidth="1"/>
    <col min="7176" max="7176" width="16.28515625" style="2" bestFit="1" customWidth="1"/>
    <col min="7177" max="7177" width="20.5703125" style="2" bestFit="1" customWidth="1"/>
    <col min="7178" max="7415" width="10.140625" style="2"/>
    <col min="7416" max="7416" width="7.42578125" style="2" customWidth="1"/>
    <col min="7417" max="7417" width="10.42578125" style="2" bestFit="1" customWidth="1"/>
    <col min="7418" max="7418" width="10.85546875" style="2" customWidth="1"/>
    <col min="7419" max="7419" width="12" style="2" customWidth="1"/>
    <col min="7420" max="7421" width="12.5703125" style="2" customWidth="1"/>
    <col min="7422" max="7422" width="10.7109375" style="2" customWidth="1"/>
    <col min="7423" max="7423" width="11.28515625" style="2" customWidth="1"/>
    <col min="7424" max="7424" width="10.28515625" style="2" customWidth="1"/>
    <col min="7425" max="7425" width="10.5703125" style="2" customWidth="1"/>
    <col min="7426" max="7426" width="9.42578125" style="2" customWidth="1"/>
    <col min="7427" max="7427" width="10.85546875" style="2" customWidth="1"/>
    <col min="7428" max="7428" width="11.7109375" style="2" customWidth="1"/>
    <col min="7429" max="7429" width="10.42578125" style="2" customWidth="1"/>
    <col min="7430" max="7430" width="23" style="2" customWidth="1"/>
    <col min="7431" max="7431" width="10.28515625" style="2" bestFit="1" customWidth="1"/>
    <col min="7432" max="7432" width="16.28515625" style="2" bestFit="1" customWidth="1"/>
    <col min="7433" max="7433" width="20.5703125" style="2" bestFit="1" customWidth="1"/>
    <col min="7434" max="7671" width="10.140625" style="2"/>
    <col min="7672" max="7672" width="7.42578125" style="2" customWidth="1"/>
    <col min="7673" max="7673" width="10.42578125" style="2" bestFit="1" customWidth="1"/>
    <col min="7674" max="7674" width="10.85546875" style="2" customWidth="1"/>
    <col min="7675" max="7675" width="12" style="2" customWidth="1"/>
    <col min="7676" max="7677" width="12.5703125" style="2" customWidth="1"/>
    <col min="7678" max="7678" width="10.7109375" style="2" customWidth="1"/>
    <col min="7679" max="7679" width="11.28515625" style="2" customWidth="1"/>
    <col min="7680" max="7680" width="10.28515625" style="2" customWidth="1"/>
    <col min="7681" max="7681" width="10.5703125" style="2" customWidth="1"/>
    <col min="7682" max="7682" width="9.42578125" style="2" customWidth="1"/>
    <col min="7683" max="7683" width="10.85546875" style="2" customWidth="1"/>
    <col min="7684" max="7684" width="11.7109375" style="2" customWidth="1"/>
    <col min="7685" max="7685" width="10.42578125" style="2" customWidth="1"/>
    <col min="7686" max="7686" width="23" style="2" customWidth="1"/>
    <col min="7687" max="7687" width="10.28515625" style="2" bestFit="1" customWidth="1"/>
    <col min="7688" max="7688" width="16.28515625" style="2" bestFit="1" customWidth="1"/>
    <col min="7689" max="7689" width="20.5703125" style="2" bestFit="1" customWidth="1"/>
    <col min="7690" max="7927" width="10.140625" style="2"/>
    <col min="7928" max="7928" width="7.42578125" style="2" customWidth="1"/>
    <col min="7929" max="7929" width="10.42578125" style="2" bestFit="1" customWidth="1"/>
    <col min="7930" max="7930" width="10.85546875" style="2" customWidth="1"/>
    <col min="7931" max="7931" width="12" style="2" customWidth="1"/>
    <col min="7932" max="7933" width="12.5703125" style="2" customWidth="1"/>
    <col min="7934" max="7934" width="10.7109375" style="2" customWidth="1"/>
    <col min="7935" max="7935" width="11.28515625" style="2" customWidth="1"/>
    <col min="7936" max="7936" width="10.28515625" style="2" customWidth="1"/>
    <col min="7937" max="7937" width="10.5703125" style="2" customWidth="1"/>
    <col min="7938" max="7938" width="9.42578125" style="2" customWidth="1"/>
    <col min="7939" max="7939" width="10.85546875" style="2" customWidth="1"/>
    <col min="7940" max="7940" width="11.7109375" style="2" customWidth="1"/>
    <col min="7941" max="7941" width="10.42578125" style="2" customWidth="1"/>
    <col min="7942" max="7942" width="23" style="2" customWidth="1"/>
    <col min="7943" max="7943" width="10.28515625" style="2" bestFit="1" customWidth="1"/>
    <col min="7944" max="7944" width="16.28515625" style="2" bestFit="1" customWidth="1"/>
    <col min="7945" max="7945" width="20.5703125" style="2" bestFit="1" customWidth="1"/>
    <col min="7946" max="8183" width="10.140625" style="2"/>
    <col min="8184" max="8184" width="7.42578125" style="2" customWidth="1"/>
    <col min="8185" max="8185" width="10.42578125" style="2" bestFit="1" customWidth="1"/>
    <col min="8186" max="8186" width="10.85546875" style="2" customWidth="1"/>
    <col min="8187" max="8187" width="12" style="2" customWidth="1"/>
    <col min="8188" max="8189" width="12.5703125" style="2" customWidth="1"/>
    <col min="8190" max="8190" width="10.7109375" style="2" customWidth="1"/>
    <col min="8191" max="8191" width="11.28515625" style="2" customWidth="1"/>
    <col min="8192" max="8192" width="10.28515625" style="2" customWidth="1"/>
    <col min="8193" max="8193" width="10.5703125" style="2" customWidth="1"/>
    <col min="8194" max="8194" width="9.42578125" style="2" customWidth="1"/>
    <col min="8195" max="8195" width="10.85546875" style="2" customWidth="1"/>
    <col min="8196" max="8196" width="11.7109375" style="2" customWidth="1"/>
    <col min="8197" max="8197" width="10.42578125" style="2" customWidth="1"/>
    <col min="8198" max="8198" width="23" style="2" customWidth="1"/>
    <col min="8199" max="8199" width="10.28515625" style="2" bestFit="1" customWidth="1"/>
    <col min="8200" max="8200" width="16.28515625" style="2" bestFit="1" customWidth="1"/>
    <col min="8201" max="8201" width="20.5703125" style="2" bestFit="1" customWidth="1"/>
    <col min="8202" max="8439" width="10.140625" style="2"/>
    <col min="8440" max="8440" width="7.42578125" style="2" customWidth="1"/>
    <col min="8441" max="8441" width="10.42578125" style="2" bestFit="1" customWidth="1"/>
    <col min="8442" max="8442" width="10.85546875" style="2" customWidth="1"/>
    <col min="8443" max="8443" width="12" style="2" customWidth="1"/>
    <col min="8444" max="8445" width="12.5703125" style="2" customWidth="1"/>
    <col min="8446" max="8446" width="10.7109375" style="2" customWidth="1"/>
    <col min="8447" max="8447" width="11.28515625" style="2" customWidth="1"/>
    <col min="8448" max="8448" width="10.28515625" style="2" customWidth="1"/>
    <col min="8449" max="8449" width="10.5703125" style="2" customWidth="1"/>
    <col min="8450" max="8450" width="9.42578125" style="2" customWidth="1"/>
    <col min="8451" max="8451" width="10.85546875" style="2" customWidth="1"/>
    <col min="8452" max="8452" width="11.7109375" style="2" customWidth="1"/>
    <col min="8453" max="8453" width="10.42578125" style="2" customWidth="1"/>
    <col min="8454" max="8454" width="23" style="2" customWidth="1"/>
    <col min="8455" max="8455" width="10.28515625" style="2" bestFit="1" customWidth="1"/>
    <col min="8456" max="8456" width="16.28515625" style="2" bestFit="1" customWidth="1"/>
    <col min="8457" max="8457" width="20.5703125" style="2" bestFit="1" customWidth="1"/>
    <col min="8458" max="8695" width="10.140625" style="2"/>
    <col min="8696" max="8696" width="7.42578125" style="2" customWidth="1"/>
    <col min="8697" max="8697" width="10.42578125" style="2" bestFit="1" customWidth="1"/>
    <col min="8698" max="8698" width="10.85546875" style="2" customWidth="1"/>
    <col min="8699" max="8699" width="12" style="2" customWidth="1"/>
    <col min="8700" max="8701" width="12.5703125" style="2" customWidth="1"/>
    <col min="8702" max="8702" width="10.7109375" style="2" customWidth="1"/>
    <col min="8703" max="8703" width="11.28515625" style="2" customWidth="1"/>
    <col min="8704" max="8704" width="10.28515625" style="2" customWidth="1"/>
    <col min="8705" max="8705" width="10.5703125" style="2" customWidth="1"/>
    <col min="8706" max="8706" width="9.42578125" style="2" customWidth="1"/>
    <col min="8707" max="8707" width="10.85546875" style="2" customWidth="1"/>
    <col min="8708" max="8708" width="11.7109375" style="2" customWidth="1"/>
    <col min="8709" max="8709" width="10.42578125" style="2" customWidth="1"/>
    <col min="8710" max="8710" width="23" style="2" customWidth="1"/>
    <col min="8711" max="8711" width="10.28515625" style="2" bestFit="1" customWidth="1"/>
    <col min="8712" max="8712" width="16.28515625" style="2" bestFit="1" customWidth="1"/>
    <col min="8713" max="8713" width="20.5703125" style="2" bestFit="1" customWidth="1"/>
    <col min="8714" max="8951" width="10.140625" style="2"/>
    <col min="8952" max="8952" width="7.42578125" style="2" customWidth="1"/>
    <col min="8953" max="8953" width="10.42578125" style="2" bestFit="1" customWidth="1"/>
    <col min="8954" max="8954" width="10.85546875" style="2" customWidth="1"/>
    <col min="8955" max="8955" width="12" style="2" customWidth="1"/>
    <col min="8956" max="8957" width="12.5703125" style="2" customWidth="1"/>
    <col min="8958" max="8958" width="10.7109375" style="2" customWidth="1"/>
    <col min="8959" max="8959" width="11.28515625" style="2" customWidth="1"/>
    <col min="8960" max="8960" width="10.28515625" style="2" customWidth="1"/>
    <col min="8961" max="8961" width="10.5703125" style="2" customWidth="1"/>
    <col min="8962" max="8962" width="9.42578125" style="2" customWidth="1"/>
    <col min="8963" max="8963" width="10.85546875" style="2" customWidth="1"/>
    <col min="8964" max="8964" width="11.7109375" style="2" customWidth="1"/>
    <col min="8965" max="8965" width="10.42578125" style="2" customWidth="1"/>
    <col min="8966" max="8966" width="23" style="2" customWidth="1"/>
    <col min="8967" max="8967" width="10.28515625" style="2" bestFit="1" customWidth="1"/>
    <col min="8968" max="8968" width="16.28515625" style="2" bestFit="1" customWidth="1"/>
    <col min="8969" max="8969" width="20.5703125" style="2" bestFit="1" customWidth="1"/>
    <col min="8970" max="9207" width="10.140625" style="2"/>
    <col min="9208" max="9208" width="7.42578125" style="2" customWidth="1"/>
    <col min="9209" max="9209" width="10.42578125" style="2" bestFit="1" customWidth="1"/>
    <col min="9210" max="9210" width="10.85546875" style="2" customWidth="1"/>
    <col min="9211" max="9211" width="12" style="2" customWidth="1"/>
    <col min="9212" max="9213" width="12.5703125" style="2" customWidth="1"/>
    <col min="9214" max="9214" width="10.7109375" style="2" customWidth="1"/>
    <col min="9215" max="9215" width="11.28515625" style="2" customWidth="1"/>
    <col min="9216" max="9216" width="10.28515625" style="2" customWidth="1"/>
    <col min="9217" max="9217" width="10.5703125" style="2" customWidth="1"/>
    <col min="9218" max="9218" width="9.42578125" style="2" customWidth="1"/>
    <col min="9219" max="9219" width="10.85546875" style="2" customWidth="1"/>
    <col min="9220" max="9220" width="11.7109375" style="2" customWidth="1"/>
    <col min="9221" max="9221" width="10.42578125" style="2" customWidth="1"/>
    <col min="9222" max="9222" width="23" style="2" customWidth="1"/>
    <col min="9223" max="9223" width="10.28515625" style="2" bestFit="1" customWidth="1"/>
    <col min="9224" max="9224" width="16.28515625" style="2" bestFit="1" customWidth="1"/>
    <col min="9225" max="9225" width="20.5703125" style="2" bestFit="1" customWidth="1"/>
    <col min="9226" max="9463" width="10.140625" style="2"/>
    <col min="9464" max="9464" width="7.42578125" style="2" customWidth="1"/>
    <col min="9465" max="9465" width="10.42578125" style="2" bestFit="1" customWidth="1"/>
    <col min="9466" max="9466" width="10.85546875" style="2" customWidth="1"/>
    <col min="9467" max="9467" width="12" style="2" customWidth="1"/>
    <col min="9468" max="9469" width="12.5703125" style="2" customWidth="1"/>
    <col min="9470" max="9470" width="10.7109375" style="2" customWidth="1"/>
    <col min="9471" max="9471" width="11.28515625" style="2" customWidth="1"/>
    <col min="9472" max="9472" width="10.28515625" style="2" customWidth="1"/>
    <col min="9473" max="9473" width="10.5703125" style="2" customWidth="1"/>
    <col min="9474" max="9474" width="9.42578125" style="2" customWidth="1"/>
    <col min="9475" max="9475" width="10.85546875" style="2" customWidth="1"/>
    <col min="9476" max="9476" width="11.7109375" style="2" customWidth="1"/>
    <col min="9477" max="9477" width="10.42578125" style="2" customWidth="1"/>
    <col min="9478" max="9478" width="23" style="2" customWidth="1"/>
    <col min="9479" max="9479" width="10.28515625" style="2" bestFit="1" customWidth="1"/>
    <col min="9480" max="9480" width="16.28515625" style="2" bestFit="1" customWidth="1"/>
    <col min="9481" max="9481" width="20.5703125" style="2" bestFit="1" customWidth="1"/>
    <col min="9482" max="9719" width="10.140625" style="2"/>
    <col min="9720" max="9720" width="7.42578125" style="2" customWidth="1"/>
    <col min="9721" max="9721" width="10.42578125" style="2" bestFit="1" customWidth="1"/>
    <col min="9722" max="9722" width="10.85546875" style="2" customWidth="1"/>
    <col min="9723" max="9723" width="12" style="2" customWidth="1"/>
    <col min="9724" max="9725" width="12.5703125" style="2" customWidth="1"/>
    <col min="9726" max="9726" width="10.7109375" style="2" customWidth="1"/>
    <col min="9727" max="9727" width="11.28515625" style="2" customWidth="1"/>
    <col min="9728" max="9728" width="10.28515625" style="2" customWidth="1"/>
    <col min="9729" max="9729" width="10.5703125" style="2" customWidth="1"/>
    <col min="9730" max="9730" width="9.42578125" style="2" customWidth="1"/>
    <col min="9731" max="9731" width="10.85546875" style="2" customWidth="1"/>
    <col min="9732" max="9732" width="11.7109375" style="2" customWidth="1"/>
    <col min="9733" max="9733" width="10.42578125" style="2" customWidth="1"/>
    <col min="9734" max="9734" width="23" style="2" customWidth="1"/>
    <col min="9735" max="9735" width="10.28515625" style="2" bestFit="1" customWidth="1"/>
    <col min="9736" max="9736" width="16.28515625" style="2" bestFit="1" customWidth="1"/>
    <col min="9737" max="9737" width="20.5703125" style="2" bestFit="1" customWidth="1"/>
    <col min="9738" max="9975" width="10.140625" style="2"/>
    <col min="9976" max="9976" width="7.42578125" style="2" customWidth="1"/>
    <col min="9977" max="9977" width="10.42578125" style="2" bestFit="1" customWidth="1"/>
    <col min="9978" max="9978" width="10.85546875" style="2" customWidth="1"/>
    <col min="9979" max="9979" width="12" style="2" customWidth="1"/>
    <col min="9980" max="9981" width="12.5703125" style="2" customWidth="1"/>
    <col min="9982" max="9982" width="10.7109375" style="2" customWidth="1"/>
    <col min="9983" max="9983" width="11.28515625" style="2" customWidth="1"/>
    <col min="9984" max="9984" width="10.28515625" style="2" customWidth="1"/>
    <col min="9985" max="9985" width="10.5703125" style="2" customWidth="1"/>
    <col min="9986" max="9986" width="9.42578125" style="2" customWidth="1"/>
    <col min="9987" max="9987" width="10.85546875" style="2" customWidth="1"/>
    <col min="9988" max="9988" width="11.7109375" style="2" customWidth="1"/>
    <col min="9989" max="9989" width="10.42578125" style="2" customWidth="1"/>
    <col min="9990" max="9990" width="23" style="2" customWidth="1"/>
    <col min="9991" max="9991" width="10.28515625" style="2" bestFit="1" customWidth="1"/>
    <col min="9992" max="9992" width="16.28515625" style="2" bestFit="1" customWidth="1"/>
    <col min="9993" max="9993" width="20.5703125" style="2" bestFit="1" customWidth="1"/>
    <col min="9994" max="10231" width="10.140625" style="2"/>
    <col min="10232" max="10232" width="7.42578125" style="2" customWidth="1"/>
    <col min="10233" max="10233" width="10.42578125" style="2" bestFit="1" customWidth="1"/>
    <col min="10234" max="10234" width="10.85546875" style="2" customWidth="1"/>
    <col min="10235" max="10235" width="12" style="2" customWidth="1"/>
    <col min="10236" max="10237" width="12.5703125" style="2" customWidth="1"/>
    <col min="10238" max="10238" width="10.7109375" style="2" customWidth="1"/>
    <col min="10239" max="10239" width="11.28515625" style="2" customWidth="1"/>
    <col min="10240" max="10240" width="10.28515625" style="2" customWidth="1"/>
    <col min="10241" max="10241" width="10.5703125" style="2" customWidth="1"/>
    <col min="10242" max="10242" width="9.42578125" style="2" customWidth="1"/>
    <col min="10243" max="10243" width="10.85546875" style="2" customWidth="1"/>
    <col min="10244" max="10244" width="11.7109375" style="2" customWidth="1"/>
    <col min="10245" max="10245" width="10.42578125" style="2" customWidth="1"/>
    <col min="10246" max="10246" width="23" style="2" customWidth="1"/>
    <col min="10247" max="10247" width="10.28515625" style="2" bestFit="1" customWidth="1"/>
    <col min="10248" max="10248" width="16.28515625" style="2" bestFit="1" customWidth="1"/>
    <col min="10249" max="10249" width="20.5703125" style="2" bestFit="1" customWidth="1"/>
    <col min="10250" max="10487" width="10.140625" style="2"/>
    <col min="10488" max="10488" width="7.42578125" style="2" customWidth="1"/>
    <col min="10489" max="10489" width="10.42578125" style="2" bestFit="1" customWidth="1"/>
    <col min="10490" max="10490" width="10.85546875" style="2" customWidth="1"/>
    <col min="10491" max="10491" width="12" style="2" customWidth="1"/>
    <col min="10492" max="10493" width="12.5703125" style="2" customWidth="1"/>
    <col min="10494" max="10494" width="10.7109375" style="2" customWidth="1"/>
    <col min="10495" max="10495" width="11.28515625" style="2" customWidth="1"/>
    <col min="10496" max="10496" width="10.28515625" style="2" customWidth="1"/>
    <col min="10497" max="10497" width="10.5703125" style="2" customWidth="1"/>
    <col min="10498" max="10498" width="9.42578125" style="2" customWidth="1"/>
    <col min="10499" max="10499" width="10.85546875" style="2" customWidth="1"/>
    <col min="10500" max="10500" width="11.7109375" style="2" customWidth="1"/>
    <col min="10501" max="10501" width="10.42578125" style="2" customWidth="1"/>
    <col min="10502" max="10502" width="23" style="2" customWidth="1"/>
    <col min="10503" max="10503" width="10.28515625" style="2" bestFit="1" customWidth="1"/>
    <col min="10504" max="10504" width="16.28515625" style="2" bestFit="1" customWidth="1"/>
    <col min="10505" max="10505" width="20.5703125" style="2" bestFit="1" customWidth="1"/>
    <col min="10506" max="10743" width="10.140625" style="2"/>
    <col min="10744" max="10744" width="7.42578125" style="2" customWidth="1"/>
    <col min="10745" max="10745" width="10.42578125" style="2" bestFit="1" customWidth="1"/>
    <col min="10746" max="10746" width="10.85546875" style="2" customWidth="1"/>
    <col min="10747" max="10747" width="12" style="2" customWidth="1"/>
    <col min="10748" max="10749" width="12.5703125" style="2" customWidth="1"/>
    <col min="10750" max="10750" width="10.7109375" style="2" customWidth="1"/>
    <col min="10751" max="10751" width="11.28515625" style="2" customWidth="1"/>
    <col min="10752" max="10752" width="10.28515625" style="2" customWidth="1"/>
    <col min="10753" max="10753" width="10.5703125" style="2" customWidth="1"/>
    <col min="10754" max="10754" width="9.42578125" style="2" customWidth="1"/>
    <col min="10755" max="10755" width="10.85546875" style="2" customWidth="1"/>
    <col min="10756" max="10756" width="11.7109375" style="2" customWidth="1"/>
    <col min="10757" max="10757" width="10.42578125" style="2" customWidth="1"/>
    <col min="10758" max="10758" width="23" style="2" customWidth="1"/>
    <col min="10759" max="10759" width="10.28515625" style="2" bestFit="1" customWidth="1"/>
    <col min="10760" max="10760" width="16.28515625" style="2" bestFit="1" customWidth="1"/>
    <col min="10761" max="10761" width="20.5703125" style="2" bestFit="1" customWidth="1"/>
    <col min="10762" max="10999" width="10.140625" style="2"/>
    <col min="11000" max="11000" width="7.42578125" style="2" customWidth="1"/>
    <col min="11001" max="11001" width="10.42578125" style="2" bestFit="1" customWidth="1"/>
    <col min="11002" max="11002" width="10.85546875" style="2" customWidth="1"/>
    <col min="11003" max="11003" width="12" style="2" customWidth="1"/>
    <col min="11004" max="11005" width="12.5703125" style="2" customWidth="1"/>
    <col min="11006" max="11006" width="10.7109375" style="2" customWidth="1"/>
    <col min="11007" max="11007" width="11.28515625" style="2" customWidth="1"/>
    <col min="11008" max="11008" width="10.28515625" style="2" customWidth="1"/>
    <col min="11009" max="11009" width="10.5703125" style="2" customWidth="1"/>
    <col min="11010" max="11010" width="9.42578125" style="2" customWidth="1"/>
    <col min="11011" max="11011" width="10.85546875" style="2" customWidth="1"/>
    <col min="11012" max="11012" width="11.7109375" style="2" customWidth="1"/>
    <col min="11013" max="11013" width="10.42578125" style="2" customWidth="1"/>
    <col min="11014" max="11014" width="23" style="2" customWidth="1"/>
    <col min="11015" max="11015" width="10.28515625" style="2" bestFit="1" customWidth="1"/>
    <col min="11016" max="11016" width="16.28515625" style="2" bestFit="1" customWidth="1"/>
    <col min="11017" max="11017" width="20.5703125" style="2" bestFit="1" customWidth="1"/>
    <col min="11018" max="11255" width="10.140625" style="2"/>
    <col min="11256" max="11256" width="7.42578125" style="2" customWidth="1"/>
    <col min="11257" max="11257" width="10.42578125" style="2" bestFit="1" customWidth="1"/>
    <col min="11258" max="11258" width="10.85546875" style="2" customWidth="1"/>
    <col min="11259" max="11259" width="12" style="2" customWidth="1"/>
    <col min="11260" max="11261" width="12.5703125" style="2" customWidth="1"/>
    <col min="11262" max="11262" width="10.7109375" style="2" customWidth="1"/>
    <col min="11263" max="11263" width="11.28515625" style="2" customWidth="1"/>
    <col min="11264" max="11264" width="10.28515625" style="2" customWidth="1"/>
    <col min="11265" max="11265" width="10.5703125" style="2" customWidth="1"/>
    <col min="11266" max="11266" width="9.42578125" style="2" customWidth="1"/>
    <col min="11267" max="11267" width="10.85546875" style="2" customWidth="1"/>
    <col min="11268" max="11268" width="11.7109375" style="2" customWidth="1"/>
    <col min="11269" max="11269" width="10.42578125" style="2" customWidth="1"/>
    <col min="11270" max="11270" width="23" style="2" customWidth="1"/>
    <col min="11271" max="11271" width="10.28515625" style="2" bestFit="1" customWidth="1"/>
    <col min="11272" max="11272" width="16.28515625" style="2" bestFit="1" customWidth="1"/>
    <col min="11273" max="11273" width="20.5703125" style="2" bestFit="1" customWidth="1"/>
    <col min="11274" max="11511" width="10.140625" style="2"/>
    <col min="11512" max="11512" width="7.42578125" style="2" customWidth="1"/>
    <col min="11513" max="11513" width="10.42578125" style="2" bestFit="1" customWidth="1"/>
    <col min="11514" max="11514" width="10.85546875" style="2" customWidth="1"/>
    <col min="11515" max="11515" width="12" style="2" customWidth="1"/>
    <col min="11516" max="11517" width="12.5703125" style="2" customWidth="1"/>
    <col min="11518" max="11518" width="10.7109375" style="2" customWidth="1"/>
    <col min="11519" max="11519" width="11.28515625" style="2" customWidth="1"/>
    <col min="11520" max="11520" width="10.28515625" style="2" customWidth="1"/>
    <col min="11521" max="11521" width="10.5703125" style="2" customWidth="1"/>
    <col min="11522" max="11522" width="9.42578125" style="2" customWidth="1"/>
    <col min="11523" max="11523" width="10.85546875" style="2" customWidth="1"/>
    <col min="11524" max="11524" width="11.7109375" style="2" customWidth="1"/>
    <col min="11525" max="11525" width="10.42578125" style="2" customWidth="1"/>
    <col min="11526" max="11526" width="23" style="2" customWidth="1"/>
    <col min="11527" max="11527" width="10.28515625" style="2" bestFit="1" customWidth="1"/>
    <col min="11528" max="11528" width="16.28515625" style="2" bestFit="1" customWidth="1"/>
    <col min="11529" max="11529" width="20.5703125" style="2" bestFit="1" customWidth="1"/>
    <col min="11530" max="11767" width="10.140625" style="2"/>
    <col min="11768" max="11768" width="7.42578125" style="2" customWidth="1"/>
    <col min="11769" max="11769" width="10.42578125" style="2" bestFit="1" customWidth="1"/>
    <col min="11770" max="11770" width="10.85546875" style="2" customWidth="1"/>
    <col min="11771" max="11771" width="12" style="2" customWidth="1"/>
    <col min="11772" max="11773" width="12.5703125" style="2" customWidth="1"/>
    <col min="11774" max="11774" width="10.7109375" style="2" customWidth="1"/>
    <col min="11775" max="11775" width="11.28515625" style="2" customWidth="1"/>
    <col min="11776" max="11776" width="10.28515625" style="2" customWidth="1"/>
    <col min="11777" max="11777" width="10.5703125" style="2" customWidth="1"/>
    <col min="11778" max="11778" width="9.42578125" style="2" customWidth="1"/>
    <col min="11779" max="11779" width="10.85546875" style="2" customWidth="1"/>
    <col min="11780" max="11780" width="11.7109375" style="2" customWidth="1"/>
    <col min="11781" max="11781" width="10.42578125" style="2" customWidth="1"/>
    <col min="11782" max="11782" width="23" style="2" customWidth="1"/>
    <col min="11783" max="11783" width="10.28515625" style="2" bestFit="1" customWidth="1"/>
    <col min="11784" max="11784" width="16.28515625" style="2" bestFit="1" customWidth="1"/>
    <col min="11785" max="11785" width="20.5703125" style="2" bestFit="1" customWidth="1"/>
    <col min="11786" max="12023" width="10.140625" style="2"/>
    <col min="12024" max="12024" width="7.42578125" style="2" customWidth="1"/>
    <col min="12025" max="12025" width="10.42578125" style="2" bestFit="1" customWidth="1"/>
    <col min="12026" max="12026" width="10.85546875" style="2" customWidth="1"/>
    <col min="12027" max="12027" width="12" style="2" customWidth="1"/>
    <col min="12028" max="12029" width="12.5703125" style="2" customWidth="1"/>
    <col min="12030" max="12030" width="10.7109375" style="2" customWidth="1"/>
    <col min="12031" max="12031" width="11.28515625" style="2" customWidth="1"/>
    <col min="12032" max="12032" width="10.28515625" style="2" customWidth="1"/>
    <col min="12033" max="12033" width="10.5703125" style="2" customWidth="1"/>
    <col min="12034" max="12034" width="9.42578125" style="2" customWidth="1"/>
    <col min="12035" max="12035" width="10.85546875" style="2" customWidth="1"/>
    <col min="12036" max="12036" width="11.7109375" style="2" customWidth="1"/>
    <col min="12037" max="12037" width="10.42578125" style="2" customWidth="1"/>
    <col min="12038" max="12038" width="23" style="2" customWidth="1"/>
    <col min="12039" max="12039" width="10.28515625" style="2" bestFit="1" customWidth="1"/>
    <col min="12040" max="12040" width="16.28515625" style="2" bestFit="1" customWidth="1"/>
    <col min="12041" max="12041" width="20.5703125" style="2" bestFit="1" customWidth="1"/>
    <col min="12042" max="12279" width="10.140625" style="2"/>
    <col min="12280" max="12280" width="7.42578125" style="2" customWidth="1"/>
    <col min="12281" max="12281" width="10.42578125" style="2" bestFit="1" customWidth="1"/>
    <col min="12282" max="12282" width="10.85546875" style="2" customWidth="1"/>
    <col min="12283" max="12283" width="12" style="2" customWidth="1"/>
    <col min="12284" max="12285" width="12.5703125" style="2" customWidth="1"/>
    <col min="12286" max="12286" width="10.7109375" style="2" customWidth="1"/>
    <col min="12287" max="12287" width="11.28515625" style="2" customWidth="1"/>
    <col min="12288" max="12288" width="10.28515625" style="2" customWidth="1"/>
    <col min="12289" max="12289" width="10.5703125" style="2" customWidth="1"/>
    <col min="12290" max="12290" width="9.42578125" style="2" customWidth="1"/>
    <col min="12291" max="12291" width="10.85546875" style="2" customWidth="1"/>
    <col min="12292" max="12292" width="11.7109375" style="2" customWidth="1"/>
    <col min="12293" max="12293" width="10.42578125" style="2" customWidth="1"/>
    <col min="12294" max="12294" width="23" style="2" customWidth="1"/>
    <col min="12295" max="12295" width="10.28515625" style="2" bestFit="1" customWidth="1"/>
    <col min="12296" max="12296" width="16.28515625" style="2" bestFit="1" customWidth="1"/>
    <col min="12297" max="12297" width="20.5703125" style="2" bestFit="1" customWidth="1"/>
    <col min="12298" max="12535" width="10.140625" style="2"/>
    <col min="12536" max="12536" width="7.42578125" style="2" customWidth="1"/>
    <col min="12537" max="12537" width="10.42578125" style="2" bestFit="1" customWidth="1"/>
    <col min="12538" max="12538" width="10.85546875" style="2" customWidth="1"/>
    <col min="12539" max="12539" width="12" style="2" customWidth="1"/>
    <col min="12540" max="12541" width="12.5703125" style="2" customWidth="1"/>
    <col min="12542" max="12542" width="10.7109375" style="2" customWidth="1"/>
    <col min="12543" max="12543" width="11.28515625" style="2" customWidth="1"/>
    <col min="12544" max="12544" width="10.28515625" style="2" customWidth="1"/>
    <col min="12545" max="12545" width="10.5703125" style="2" customWidth="1"/>
    <col min="12546" max="12546" width="9.42578125" style="2" customWidth="1"/>
    <col min="12547" max="12547" width="10.85546875" style="2" customWidth="1"/>
    <col min="12548" max="12548" width="11.7109375" style="2" customWidth="1"/>
    <col min="12549" max="12549" width="10.42578125" style="2" customWidth="1"/>
    <col min="12550" max="12550" width="23" style="2" customWidth="1"/>
    <col min="12551" max="12551" width="10.28515625" style="2" bestFit="1" customWidth="1"/>
    <col min="12552" max="12552" width="16.28515625" style="2" bestFit="1" customWidth="1"/>
    <col min="12553" max="12553" width="20.5703125" style="2" bestFit="1" customWidth="1"/>
    <col min="12554" max="12791" width="10.140625" style="2"/>
    <col min="12792" max="12792" width="7.42578125" style="2" customWidth="1"/>
    <col min="12793" max="12793" width="10.42578125" style="2" bestFit="1" customWidth="1"/>
    <col min="12794" max="12794" width="10.85546875" style="2" customWidth="1"/>
    <col min="12795" max="12795" width="12" style="2" customWidth="1"/>
    <col min="12796" max="12797" width="12.5703125" style="2" customWidth="1"/>
    <col min="12798" max="12798" width="10.7109375" style="2" customWidth="1"/>
    <col min="12799" max="12799" width="11.28515625" style="2" customWidth="1"/>
    <col min="12800" max="12800" width="10.28515625" style="2" customWidth="1"/>
    <col min="12801" max="12801" width="10.5703125" style="2" customWidth="1"/>
    <col min="12802" max="12802" width="9.42578125" style="2" customWidth="1"/>
    <col min="12803" max="12803" width="10.85546875" style="2" customWidth="1"/>
    <col min="12804" max="12804" width="11.7109375" style="2" customWidth="1"/>
    <col min="12805" max="12805" width="10.42578125" style="2" customWidth="1"/>
    <col min="12806" max="12806" width="23" style="2" customWidth="1"/>
    <col min="12807" max="12807" width="10.28515625" style="2" bestFit="1" customWidth="1"/>
    <col min="12808" max="12808" width="16.28515625" style="2" bestFit="1" customWidth="1"/>
    <col min="12809" max="12809" width="20.5703125" style="2" bestFit="1" customWidth="1"/>
    <col min="12810" max="13047" width="10.140625" style="2"/>
    <col min="13048" max="13048" width="7.42578125" style="2" customWidth="1"/>
    <col min="13049" max="13049" width="10.42578125" style="2" bestFit="1" customWidth="1"/>
    <col min="13050" max="13050" width="10.85546875" style="2" customWidth="1"/>
    <col min="13051" max="13051" width="12" style="2" customWidth="1"/>
    <col min="13052" max="13053" width="12.5703125" style="2" customWidth="1"/>
    <col min="13054" max="13054" width="10.7109375" style="2" customWidth="1"/>
    <col min="13055" max="13055" width="11.28515625" style="2" customWidth="1"/>
    <col min="13056" max="13056" width="10.28515625" style="2" customWidth="1"/>
    <col min="13057" max="13057" width="10.5703125" style="2" customWidth="1"/>
    <col min="13058" max="13058" width="9.42578125" style="2" customWidth="1"/>
    <col min="13059" max="13059" width="10.85546875" style="2" customWidth="1"/>
    <col min="13060" max="13060" width="11.7109375" style="2" customWidth="1"/>
    <col min="13061" max="13061" width="10.42578125" style="2" customWidth="1"/>
    <col min="13062" max="13062" width="23" style="2" customWidth="1"/>
    <col min="13063" max="13063" width="10.28515625" style="2" bestFit="1" customWidth="1"/>
    <col min="13064" max="13064" width="16.28515625" style="2" bestFit="1" customWidth="1"/>
    <col min="13065" max="13065" width="20.5703125" style="2" bestFit="1" customWidth="1"/>
    <col min="13066" max="13303" width="10.140625" style="2"/>
    <col min="13304" max="13304" width="7.42578125" style="2" customWidth="1"/>
    <col min="13305" max="13305" width="10.42578125" style="2" bestFit="1" customWidth="1"/>
    <col min="13306" max="13306" width="10.85546875" style="2" customWidth="1"/>
    <col min="13307" max="13307" width="12" style="2" customWidth="1"/>
    <col min="13308" max="13309" width="12.5703125" style="2" customWidth="1"/>
    <col min="13310" max="13310" width="10.7109375" style="2" customWidth="1"/>
    <col min="13311" max="13311" width="11.28515625" style="2" customWidth="1"/>
    <col min="13312" max="13312" width="10.28515625" style="2" customWidth="1"/>
    <col min="13313" max="13313" width="10.5703125" style="2" customWidth="1"/>
    <col min="13314" max="13314" width="9.42578125" style="2" customWidth="1"/>
    <col min="13315" max="13315" width="10.85546875" style="2" customWidth="1"/>
    <col min="13316" max="13316" width="11.7109375" style="2" customWidth="1"/>
    <col min="13317" max="13317" width="10.42578125" style="2" customWidth="1"/>
    <col min="13318" max="13318" width="23" style="2" customWidth="1"/>
    <col min="13319" max="13319" width="10.28515625" style="2" bestFit="1" customWidth="1"/>
    <col min="13320" max="13320" width="16.28515625" style="2" bestFit="1" customWidth="1"/>
    <col min="13321" max="13321" width="20.5703125" style="2" bestFit="1" customWidth="1"/>
    <col min="13322" max="13559" width="10.140625" style="2"/>
    <col min="13560" max="13560" width="7.42578125" style="2" customWidth="1"/>
    <col min="13561" max="13561" width="10.42578125" style="2" bestFit="1" customWidth="1"/>
    <col min="13562" max="13562" width="10.85546875" style="2" customWidth="1"/>
    <col min="13563" max="13563" width="12" style="2" customWidth="1"/>
    <col min="13564" max="13565" width="12.5703125" style="2" customWidth="1"/>
    <col min="13566" max="13566" width="10.7109375" style="2" customWidth="1"/>
    <col min="13567" max="13567" width="11.28515625" style="2" customWidth="1"/>
    <col min="13568" max="13568" width="10.28515625" style="2" customWidth="1"/>
    <col min="13569" max="13569" width="10.5703125" style="2" customWidth="1"/>
    <col min="13570" max="13570" width="9.42578125" style="2" customWidth="1"/>
    <col min="13571" max="13571" width="10.85546875" style="2" customWidth="1"/>
    <col min="13572" max="13572" width="11.7109375" style="2" customWidth="1"/>
    <col min="13573" max="13573" width="10.42578125" style="2" customWidth="1"/>
    <col min="13574" max="13574" width="23" style="2" customWidth="1"/>
    <col min="13575" max="13575" width="10.28515625" style="2" bestFit="1" customWidth="1"/>
    <col min="13576" max="13576" width="16.28515625" style="2" bestFit="1" customWidth="1"/>
    <col min="13577" max="13577" width="20.5703125" style="2" bestFit="1" customWidth="1"/>
    <col min="13578" max="13815" width="10.140625" style="2"/>
    <col min="13816" max="13816" width="7.42578125" style="2" customWidth="1"/>
    <col min="13817" max="13817" width="10.42578125" style="2" bestFit="1" customWidth="1"/>
    <col min="13818" max="13818" width="10.85546875" style="2" customWidth="1"/>
    <col min="13819" max="13819" width="12" style="2" customWidth="1"/>
    <col min="13820" max="13821" width="12.5703125" style="2" customWidth="1"/>
    <col min="13822" max="13822" width="10.7109375" style="2" customWidth="1"/>
    <col min="13823" max="13823" width="11.28515625" style="2" customWidth="1"/>
    <col min="13824" max="13824" width="10.28515625" style="2" customWidth="1"/>
    <col min="13825" max="13825" width="10.5703125" style="2" customWidth="1"/>
    <col min="13826" max="13826" width="9.42578125" style="2" customWidth="1"/>
    <col min="13827" max="13827" width="10.85546875" style="2" customWidth="1"/>
    <col min="13828" max="13828" width="11.7109375" style="2" customWidth="1"/>
    <col min="13829" max="13829" width="10.42578125" style="2" customWidth="1"/>
    <col min="13830" max="13830" width="23" style="2" customWidth="1"/>
    <col min="13831" max="13831" width="10.28515625" style="2" bestFit="1" customWidth="1"/>
    <col min="13832" max="13832" width="16.28515625" style="2" bestFit="1" customWidth="1"/>
    <col min="13833" max="13833" width="20.5703125" style="2" bestFit="1" customWidth="1"/>
    <col min="13834" max="14071" width="10.140625" style="2"/>
    <col min="14072" max="14072" width="7.42578125" style="2" customWidth="1"/>
    <col min="14073" max="14073" width="10.42578125" style="2" bestFit="1" customWidth="1"/>
    <col min="14074" max="14074" width="10.85546875" style="2" customWidth="1"/>
    <col min="14075" max="14075" width="12" style="2" customWidth="1"/>
    <col min="14076" max="14077" width="12.5703125" style="2" customWidth="1"/>
    <col min="14078" max="14078" width="10.7109375" style="2" customWidth="1"/>
    <col min="14079" max="14079" width="11.28515625" style="2" customWidth="1"/>
    <col min="14080" max="14080" width="10.28515625" style="2" customWidth="1"/>
    <col min="14081" max="14081" width="10.5703125" style="2" customWidth="1"/>
    <col min="14082" max="14082" width="9.42578125" style="2" customWidth="1"/>
    <col min="14083" max="14083" width="10.85546875" style="2" customWidth="1"/>
    <col min="14084" max="14084" width="11.7109375" style="2" customWidth="1"/>
    <col min="14085" max="14085" width="10.42578125" style="2" customWidth="1"/>
    <col min="14086" max="14086" width="23" style="2" customWidth="1"/>
    <col min="14087" max="14087" width="10.28515625" style="2" bestFit="1" customWidth="1"/>
    <col min="14088" max="14088" width="16.28515625" style="2" bestFit="1" customWidth="1"/>
    <col min="14089" max="14089" width="20.5703125" style="2" bestFit="1" customWidth="1"/>
    <col min="14090" max="14327" width="10.140625" style="2"/>
    <col min="14328" max="14328" width="7.42578125" style="2" customWidth="1"/>
    <col min="14329" max="14329" width="10.42578125" style="2" bestFit="1" customWidth="1"/>
    <col min="14330" max="14330" width="10.85546875" style="2" customWidth="1"/>
    <col min="14331" max="14331" width="12" style="2" customWidth="1"/>
    <col min="14332" max="14333" width="12.5703125" style="2" customWidth="1"/>
    <col min="14334" max="14334" width="10.7109375" style="2" customWidth="1"/>
    <col min="14335" max="14335" width="11.28515625" style="2" customWidth="1"/>
    <col min="14336" max="14336" width="10.28515625" style="2" customWidth="1"/>
    <col min="14337" max="14337" width="10.5703125" style="2" customWidth="1"/>
    <col min="14338" max="14338" width="9.42578125" style="2" customWidth="1"/>
    <col min="14339" max="14339" width="10.85546875" style="2" customWidth="1"/>
    <col min="14340" max="14340" width="11.7109375" style="2" customWidth="1"/>
    <col min="14341" max="14341" width="10.42578125" style="2" customWidth="1"/>
    <col min="14342" max="14342" width="23" style="2" customWidth="1"/>
    <col min="14343" max="14343" width="10.28515625" style="2" bestFit="1" customWidth="1"/>
    <col min="14344" max="14344" width="16.28515625" style="2" bestFit="1" customWidth="1"/>
    <col min="14345" max="14345" width="20.5703125" style="2" bestFit="1" customWidth="1"/>
    <col min="14346" max="14583" width="10.140625" style="2"/>
    <col min="14584" max="14584" width="7.42578125" style="2" customWidth="1"/>
    <col min="14585" max="14585" width="10.42578125" style="2" bestFit="1" customWidth="1"/>
    <col min="14586" max="14586" width="10.85546875" style="2" customWidth="1"/>
    <col min="14587" max="14587" width="12" style="2" customWidth="1"/>
    <col min="14588" max="14589" width="12.5703125" style="2" customWidth="1"/>
    <col min="14590" max="14590" width="10.7109375" style="2" customWidth="1"/>
    <col min="14591" max="14591" width="11.28515625" style="2" customWidth="1"/>
    <col min="14592" max="14592" width="10.28515625" style="2" customWidth="1"/>
    <col min="14593" max="14593" width="10.5703125" style="2" customWidth="1"/>
    <col min="14594" max="14594" width="9.42578125" style="2" customWidth="1"/>
    <col min="14595" max="14595" width="10.85546875" style="2" customWidth="1"/>
    <col min="14596" max="14596" width="11.7109375" style="2" customWidth="1"/>
    <col min="14597" max="14597" width="10.42578125" style="2" customWidth="1"/>
    <col min="14598" max="14598" width="23" style="2" customWidth="1"/>
    <col min="14599" max="14599" width="10.28515625" style="2" bestFit="1" customWidth="1"/>
    <col min="14600" max="14600" width="16.28515625" style="2" bestFit="1" customWidth="1"/>
    <col min="14601" max="14601" width="20.5703125" style="2" bestFit="1" customWidth="1"/>
    <col min="14602" max="14839" width="10.140625" style="2"/>
    <col min="14840" max="14840" width="7.42578125" style="2" customWidth="1"/>
    <col min="14841" max="14841" width="10.42578125" style="2" bestFit="1" customWidth="1"/>
    <col min="14842" max="14842" width="10.85546875" style="2" customWidth="1"/>
    <col min="14843" max="14843" width="12" style="2" customWidth="1"/>
    <col min="14844" max="14845" width="12.5703125" style="2" customWidth="1"/>
    <col min="14846" max="14846" width="10.7109375" style="2" customWidth="1"/>
    <col min="14847" max="14847" width="11.28515625" style="2" customWidth="1"/>
    <col min="14848" max="14848" width="10.28515625" style="2" customWidth="1"/>
    <col min="14849" max="14849" width="10.5703125" style="2" customWidth="1"/>
    <col min="14850" max="14850" width="9.42578125" style="2" customWidth="1"/>
    <col min="14851" max="14851" width="10.85546875" style="2" customWidth="1"/>
    <col min="14852" max="14852" width="11.7109375" style="2" customWidth="1"/>
    <col min="14853" max="14853" width="10.42578125" style="2" customWidth="1"/>
    <col min="14854" max="14854" width="23" style="2" customWidth="1"/>
    <col min="14855" max="14855" width="10.28515625" style="2" bestFit="1" customWidth="1"/>
    <col min="14856" max="14856" width="16.28515625" style="2" bestFit="1" customWidth="1"/>
    <col min="14857" max="14857" width="20.5703125" style="2" bestFit="1" customWidth="1"/>
    <col min="14858" max="15095" width="10.140625" style="2"/>
    <col min="15096" max="15096" width="7.42578125" style="2" customWidth="1"/>
    <col min="15097" max="15097" width="10.42578125" style="2" bestFit="1" customWidth="1"/>
    <col min="15098" max="15098" width="10.85546875" style="2" customWidth="1"/>
    <col min="15099" max="15099" width="12" style="2" customWidth="1"/>
    <col min="15100" max="15101" width="12.5703125" style="2" customWidth="1"/>
    <col min="15102" max="15102" width="10.7109375" style="2" customWidth="1"/>
    <col min="15103" max="15103" width="11.28515625" style="2" customWidth="1"/>
    <col min="15104" max="15104" width="10.28515625" style="2" customWidth="1"/>
    <col min="15105" max="15105" width="10.5703125" style="2" customWidth="1"/>
    <col min="15106" max="15106" width="9.42578125" style="2" customWidth="1"/>
    <col min="15107" max="15107" width="10.85546875" style="2" customWidth="1"/>
    <col min="15108" max="15108" width="11.7109375" style="2" customWidth="1"/>
    <col min="15109" max="15109" width="10.42578125" style="2" customWidth="1"/>
    <col min="15110" max="15110" width="23" style="2" customWidth="1"/>
    <col min="15111" max="15111" width="10.28515625" style="2" bestFit="1" customWidth="1"/>
    <col min="15112" max="15112" width="16.28515625" style="2" bestFit="1" customWidth="1"/>
    <col min="15113" max="15113" width="20.5703125" style="2" bestFit="1" customWidth="1"/>
    <col min="15114" max="15351" width="10.140625" style="2"/>
    <col min="15352" max="15352" width="7.42578125" style="2" customWidth="1"/>
    <col min="15353" max="15353" width="10.42578125" style="2" bestFit="1" customWidth="1"/>
    <col min="15354" max="15354" width="10.85546875" style="2" customWidth="1"/>
    <col min="15355" max="15355" width="12" style="2" customWidth="1"/>
    <col min="15356" max="15357" width="12.5703125" style="2" customWidth="1"/>
    <col min="15358" max="15358" width="10.7109375" style="2" customWidth="1"/>
    <col min="15359" max="15359" width="11.28515625" style="2" customWidth="1"/>
    <col min="15360" max="15360" width="10.28515625" style="2" customWidth="1"/>
    <col min="15361" max="15361" width="10.5703125" style="2" customWidth="1"/>
    <col min="15362" max="15362" width="9.42578125" style="2" customWidth="1"/>
    <col min="15363" max="15363" width="10.85546875" style="2" customWidth="1"/>
    <col min="15364" max="15364" width="11.7109375" style="2" customWidth="1"/>
    <col min="15365" max="15365" width="10.42578125" style="2" customWidth="1"/>
    <col min="15366" max="15366" width="23" style="2" customWidth="1"/>
    <col min="15367" max="15367" width="10.28515625" style="2" bestFit="1" customWidth="1"/>
    <col min="15368" max="15368" width="16.28515625" style="2" bestFit="1" customWidth="1"/>
    <col min="15369" max="15369" width="20.5703125" style="2" bestFit="1" customWidth="1"/>
    <col min="15370" max="15607" width="10.140625" style="2"/>
    <col min="15608" max="15608" width="7.42578125" style="2" customWidth="1"/>
    <col min="15609" max="15609" width="10.42578125" style="2" bestFit="1" customWidth="1"/>
    <col min="15610" max="15610" width="10.85546875" style="2" customWidth="1"/>
    <col min="15611" max="15611" width="12" style="2" customWidth="1"/>
    <col min="15612" max="15613" width="12.5703125" style="2" customWidth="1"/>
    <col min="15614" max="15614" width="10.7109375" style="2" customWidth="1"/>
    <col min="15615" max="15615" width="11.28515625" style="2" customWidth="1"/>
    <col min="15616" max="15616" width="10.28515625" style="2" customWidth="1"/>
    <col min="15617" max="15617" width="10.5703125" style="2" customWidth="1"/>
    <col min="15618" max="15618" width="9.42578125" style="2" customWidth="1"/>
    <col min="15619" max="15619" width="10.85546875" style="2" customWidth="1"/>
    <col min="15620" max="15620" width="11.7109375" style="2" customWidth="1"/>
    <col min="15621" max="15621" width="10.42578125" style="2" customWidth="1"/>
    <col min="15622" max="15622" width="23" style="2" customWidth="1"/>
    <col min="15623" max="15623" width="10.28515625" style="2" bestFit="1" customWidth="1"/>
    <col min="15624" max="15624" width="16.28515625" style="2" bestFit="1" customWidth="1"/>
    <col min="15625" max="15625" width="20.5703125" style="2" bestFit="1" customWidth="1"/>
    <col min="15626" max="15863" width="10.140625" style="2"/>
    <col min="15864" max="15864" width="7.42578125" style="2" customWidth="1"/>
    <col min="15865" max="15865" width="10.42578125" style="2" bestFit="1" customWidth="1"/>
    <col min="15866" max="15866" width="10.85546875" style="2" customWidth="1"/>
    <col min="15867" max="15867" width="12" style="2" customWidth="1"/>
    <col min="15868" max="15869" width="12.5703125" style="2" customWidth="1"/>
    <col min="15870" max="15870" width="10.7109375" style="2" customWidth="1"/>
    <col min="15871" max="15871" width="11.28515625" style="2" customWidth="1"/>
    <col min="15872" max="15872" width="10.28515625" style="2" customWidth="1"/>
    <col min="15873" max="15873" width="10.5703125" style="2" customWidth="1"/>
    <col min="15874" max="15874" width="9.42578125" style="2" customWidth="1"/>
    <col min="15875" max="15875" width="10.85546875" style="2" customWidth="1"/>
    <col min="15876" max="15876" width="11.7109375" style="2" customWidth="1"/>
    <col min="15877" max="15877" width="10.42578125" style="2" customWidth="1"/>
    <col min="15878" max="15878" width="23" style="2" customWidth="1"/>
    <col min="15879" max="15879" width="10.28515625" style="2" bestFit="1" customWidth="1"/>
    <col min="15880" max="15880" width="16.28515625" style="2" bestFit="1" customWidth="1"/>
    <col min="15881" max="15881" width="20.5703125" style="2" bestFit="1" customWidth="1"/>
    <col min="15882" max="16119" width="10.140625" style="2"/>
    <col min="16120" max="16120" width="7.42578125" style="2" customWidth="1"/>
    <col min="16121" max="16121" width="10.42578125" style="2" bestFit="1" customWidth="1"/>
    <col min="16122" max="16122" width="10.85546875" style="2" customWidth="1"/>
    <col min="16123" max="16123" width="12" style="2" customWidth="1"/>
    <col min="16124" max="16125" width="12.5703125" style="2" customWidth="1"/>
    <col min="16126" max="16126" width="10.7109375" style="2" customWidth="1"/>
    <col min="16127" max="16127" width="11.28515625" style="2" customWidth="1"/>
    <col min="16128" max="16128" width="10.28515625" style="2" customWidth="1"/>
    <col min="16129" max="16129" width="10.5703125" style="2" customWidth="1"/>
    <col min="16130" max="16130" width="9.42578125" style="2" customWidth="1"/>
    <col min="16131" max="16131" width="10.85546875" style="2" customWidth="1"/>
    <col min="16132" max="16132" width="11.7109375" style="2" customWidth="1"/>
    <col min="16133" max="16133" width="10.42578125" style="2" customWidth="1"/>
    <col min="16134" max="16134" width="23" style="2" customWidth="1"/>
    <col min="16135" max="16135" width="10.28515625" style="2" bestFit="1" customWidth="1"/>
    <col min="16136" max="16136" width="16.28515625" style="2" bestFit="1" customWidth="1"/>
    <col min="16137" max="16137" width="20.5703125" style="2" bestFit="1" customWidth="1"/>
    <col min="16138" max="16384" width="10.140625" style="2"/>
  </cols>
  <sheetData>
    <row r="1" spans="1:18" ht="30" customHeight="1" x14ac:dyDescent="0.25">
      <c r="A1" s="39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26.25" customHeight="1" x14ac:dyDescent="0.25">
      <c r="A2" s="40" t="s">
        <v>49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26.25" customHeight="1" x14ac:dyDescent="0.25">
      <c r="A3" s="14"/>
      <c r="B3" s="15"/>
      <c r="C3" s="15"/>
      <c r="D3" s="15"/>
      <c r="E3" s="14"/>
      <c r="F3" s="14"/>
      <c r="G3" s="14"/>
      <c r="H3" s="14"/>
      <c r="I3" s="14"/>
      <c r="J3" s="14"/>
      <c r="K3" s="14"/>
      <c r="L3" s="14"/>
      <c r="M3" s="14"/>
      <c r="N3" s="19"/>
      <c r="O3" s="19"/>
      <c r="P3" s="14"/>
      <c r="Q3" s="14"/>
      <c r="R3" s="14"/>
    </row>
    <row r="4" spans="1:18" hidden="1" x14ac:dyDescent="0.25">
      <c r="D4" s="8" t="s">
        <v>0</v>
      </c>
      <c r="E4" s="8"/>
      <c r="F4" s="12"/>
      <c r="G4" s="3">
        <v>33800000</v>
      </c>
      <c r="H4" s="4" t="s">
        <v>30</v>
      </c>
      <c r="J4" s="4"/>
      <c r="K4" s="5" t="s">
        <v>1</v>
      </c>
      <c r="L4" s="5"/>
      <c r="M4" s="5"/>
      <c r="N4" s="18">
        <f>(3.957-0.37)/100</f>
        <v>3.5869999999999999E-2</v>
      </c>
      <c r="O4" s="20" t="s">
        <v>2</v>
      </c>
      <c r="P4" s="4"/>
    </row>
    <row r="5" spans="1:18" hidden="1" x14ac:dyDescent="0.25">
      <c r="D5" s="8" t="s">
        <v>3</v>
      </c>
      <c r="E5" s="8"/>
      <c r="F5" s="12"/>
      <c r="G5" s="3">
        <f>0.3*G4</f>
        <v>10140000</v>
      </c>
      <c r="H5" s="4" t="s">
        <v>30</v>
      </c>
      <c r="J5" s="4"/>
      <c r="K5" s="5" t="s">
        <v>4</v>
      </c>
      <c r="L5" s="5"/>
      <c r="M5" s="5"/>
      <c r="N5" s="21">
        <v>5.0000000000000001E-3</v>
      </c>
      <c r="O5" s="20" t="s">
        <v>2</v>
      </c>
      <c r="P5" s="17">
        <f>G25*N4</f>
        <v>363721.80301168287</v>
      </c>
    </row>
    <row r="6" spans="1:18" hidden="1" x14ac:dyDescent="0.25">
      <c r="D6" s="8" t="s">
        <v>5</v>
      </c>
      <c r="E6" s="8"/>
      <c r="F6" s="12"/>
      <c r="G6" s="7">
        <v>20</v>
      </c>
      <c r="H6" s="4" t="s">
        <v>6</v>
      </c>
      <c r="J6" s="4"/>
      <c r="L6" s="8" t="s">
        <v>7</v>
      </c>
      <c r="M6" s="8"/>
      <c r="N6" s="22">
        <v>2.5000000000000001E-3</v>
      </c>
      <c r="O6" s="20" t="s">
        <v>2</v>
      </c>
      <c r="P6" s="6"/>
    </row>
    <row r="7" spans="1:18" hidden="1" x14ac:dyDescent="0.25">
      <c r="D7" s="8" t="s">
        <v>8</v>
      </c>
      <c r="E7" s="8"/>
      <c r="F7" s="12"/>
      <c r="G7" s="7">
        <v>7</v>
      </c>
      <c r="H7" s="4" t="s">
        <v>6</v>
      </c>
      <c r="J7" s="4"/>
      <c r="L7" s="8" t="s">
        <v>21</v>
      </c>
      <c r="M7" s="8"/>
      <c r="N7" s="22">
        <f>N4</f>
        <v>3.5869999999999999E-2</v>
      </c>
      <c r="O7" s="36" t="s">
        <v>20</v>
      </c>
      <c r="P7" s="36"/>
      <c r="Q7" s="36"/>
      <c r="R7" s="36"/>
    </row>
    <row r="8" spans="1:18" hidden="1" x14ac:dyDescent="0.25">
      <c r="D8" s="8" t="s">
        <v>23</v>
      </c>
      <c r="E8" s="8"/>
      <c r="F8" s="12"/>
      <c r="G8" s="9">
        <v>27215</v>
      </c>
      <c r="H8" s="4" t="s">
        <v>9</v>
      </c>
      <c r="J8" s="4"/>
      <c r="L8" s="8" t="s">
        <v>10</v>
      </c>
      <c r="M8" s="8"/>
      <c r="N8" s="22">
        <v>3.5000000000000001E-3</v>
      </c>
      <c r="O8" s="23"/>
      <c r="P8" s="4"/>
    </row>
    <row r="9" spans="1:18" hidden="1" x14ac:dyDescent="0.25">
      <c r="D9" s="8" t="s">
        <v>22</v>
      </c>
      <c r="E9" s="8"/>
      <c r="F9" s="12"/>
      <c r="G9" s="10">
        <f>(1/(G6-G7))</f>
        <v>7.6923076923076927E-2</v>
      </c>
      <c r="H9" s="8"/>
      <c r="J9" s="8"/>
      <c r="L9" s="8" t="s">
        <v>11</v>
      </c>
      <c r="M9" s="8"/>
      <c r="N9" s="22">
        <v>4.0000000000000001E-3</v>
      </c>
      <c r="O9" s="23"/>
      <c r="P9" s="4"/>
    </row>
    <row r="10" spans="1:18" ht="15.75" hidden="1" customHeight="1" x14ac:dyDescent="0.25">
      <c r="C10" s="33" t="s">
        <v>12</v>
      </c>
      <c r="D10" s="33"/>
      <c r="E10" s="33"/>
      <c r="F10" s="13"/>
      <c r="G10" s="11">
        <v>3.3500000000000002E-2</v>
      </c>
      <c r="H10" s="11"/>
      <c r="I10" s="37" t="s">
        <v>13</v>
      </c>
      <c r="J10" s="37"/>
      <c r="K10" s="37"/>
      <c r="L10" s="8"/>
      <c r="M10" s="8"/>
      <c r="N10" s="22"/>
      <c r="O10" s="23"/>
      <c r="P10" s="4"/>
    </row>
    <row r="11" spans="1:18" hidden="1" x14ac:dyDescent="0.25">
      <c r="O11" s="38"/>
      <c r="P11" s="38"/>
      <c r="Q11" s="38"/>
      <c r="R11" s="38"/>
    </row>
    <row r="12" spans="1:18" ht="32.25" customHeight="1" x14ac:dyDescent="0.25">
      <c r="A12" s="51" t="s">
        <v>6</v>
      </c>
      <c r="B12" s="52" t="s">
        <v>28</v>
      </c>
      <c r="C12" s="53"/>
      <c r="D12" s="54" t="s">
        <v>35</v>
      </c>
      <c r="E12" s="55"/>
      <c r="F12" s="56" t="s">
        <v>31</v>
      </c>
      <c r="G12" s="57" t="s">
        <v>14</v>
      </c>
      <c r="H12" s="54" t="s">
        <v>38</v>
      </c>
      <c r="I12" s="55"/>
      <c r="J12" s="56" t="s">
        <v>32</v>
      </c>
      <c r="K12" s="51" t="s">
        <v>15</v>
      </c>
      <c r="L12" s="57" t="s">
        <v>26</v>
      </c>
      <c r="M12" s="57" t="s">
        <v>25</v>
      </c>
      <c r="N12" s="58" t="s">
        <v>45</v>
      </c>
      <c r="O12" s="58" t="s">
        <v>44</v>
      </c>
      <c r="P12" s="57" t="s">
        <v>7</v>
      </c>
      <c r="Q12" s="42" t="s">
        <v>24</v>
      </c>
      <c r="R12" s="43"/>
    </row>
    <row r="13" spans="1:18" ht="44.25" customHeight="1" x14ac:dyDescent="0.25">
      <c r="A13" s="51"/>
      <c r="B13" s="59"/>
      <c r="C13" s="60"/>
      <c r="D13" s="56" t="s">
        <v>36</v>
      </c>
      <c r="E13" s="56" t="s">
        <v>37</v>
      </c>
      <c r="F13" s="56"/>
      <c r="G13" s="61"/>
      <c r="H13" s="56" t="s">
        <v>36</v>
      </c>
      <c r="I13" s="56" t="s">
        <v>37</v>
      </c>
      <c r="J13" s="56"/>
      <c r="K13" s="51"/>
      <c r="L13" s="61"/>
      <c r="M13" s="61"/>
      <c r="N13" s="62"/>
      <c r="O13" s="63"/>
      <c r="P13" s="61"/>
      <c r="Q13" s="44"/>
      <c r="R13" s="45"/>
    </row>
    <row r="14" spans="1:18" ht="27" customHeight="1" x14ac:dyDescent="0.25">
      <c r="A14" s="51"/>
      <c r="B14" s="64" t="s">
        <v>29</v>
      </c>
      <c r="C14" s="64"/>
      <c r="D14" s="56" t="s">
        <v>27</v>
      </c>
      <c r="E14" s="56" t="s">
        <v>27</v>
      </c>
      <c r="F14" s="56" t="s">
        <v>27</v>
      </c>
      <c r="G14" s="56" t="s">
        <v>27</v>
      </c>
      <c r="H14" s="56" t="s">
        <v>27</v>
      </c>
      <c r="I14" s="56" t="s">
        <v>27</v>
      </c>
      <c r="J14" s="56" t="s">
        <v>27</v>
      </c>
      <c r="K14" s="51"/>
      <c r="L14" s="56" t="s">
        <v>27</v>
      </c>
      <c r="M14" s="56" t="s">
        <v>27</v>
      </c>
      <c r="N14" s="65" t="s">
        <v>27</v>
      </c>
      <c r="O14" s="65" t="s">
        <v>27</v>
      </c>
      <c r="P14" s="56" t="s">
        <v>27</v>
      </c>
      <c r="Q14" s="41" t="s">
        <v>27</v>
      </c>
      <c r="R14" s="41" t="s">
        <v>16</v>
      </c>
    </row>
    <row r="15" spans="1:18" s="25" customFormat="1" ht="64.5" customHeight="1" x14ac:dyDescent="0.25">
      <c r="A15" s="66" t="s">
        <v>33</v>
      </c>
      <c r="B15" s="67"/>
      <c r="C15" s="68"/>
      <c r="D15" s="69">
        <v>1</v>
      </c>
      <c r="E15" s="69">
        <v>2</v>
      </c>
      <c r="F15" s="69">
        <v>2</v>
      </c>
      <c r="G15" s="69">
        <v>3</v>
      </c>
      <c r="H15" s="69">
        <v>4</v>
      </c>
      <c r="I15" s="69">
        <v>5</v>
      </c>
      <c r="J15" s="69">
        <v>5</v>
      </c>
      <c r="K15" s="69">
        <v>6</v>
      </c>
      <c r="L15" s="69" t="s">
        <v>39</v>
      </c>
      <c r="M15" s="69" t="s">
        <v>34</v>
      </c>
      <c r="N15" s="69" t="s">
        <v>40</v>
      </c>
      <c r="O15" s="69" t="s">
        <v>41</v>
      </c>
      <c r="P15" s="69" t="s">
        <v>42</v>
      </c>
      <c r="Q15" s="46" t="s">
        <v>43</v>
      </c>
      <c r="R15" s="46">
        <v>12</v>
      </c>
    </row>
    <row r="16" spans="1:18" ht="34.5" customHeight="1" x14ac:dyDescent="0.25">
      <c r="A16" s="54" t="s">
        <v>19</v>
      </c>
      <c r="B16" s="70"/>
      <c r="C16" s="55"/>
      <c r="D16" s="71">
        <f>+F16</f>
        <v>23660000.195909083</v>
      </c>
      <c r="E16" s="71">
        <f>+E57</f>
        <v>10140000.083961051</v>
      </c>
      <c r="F16" s="71">
        <f>+F57</f>
        <v>23660000.195909083</v>
      </c>
      <c r="G16" s="72"/>
      <c r="H16" s="72"/>
      <c r="I16" s="72"/>
      <c r="J16" s="72"/>
      <c r="K16" s="72"/>
      <c r="L16" s="73">
        <f>+L57</f>
        <v>10140000.083961057</v>
      </c>
      <c r="M16" s="74">
        <f>+M57</f>
        <v>4164150.1524831802</v>
      </c>
      <c r="N16" s="75">
        <f t="shared" ref="N16:R16" si="0">+N57</f>
        <v>213091.07418947903</v>
      </c>
      <c r="O16" s="75">
        <f>+O57</f>
        <v>135200</v>
      </c>
      <c r="P16" s="74">
        <f t="shared" si="0"/>
        <v>290225.12911089917</v>
      </c>
      <c r="Q16" s="47">
        <f>+Q57</f>
        <v>14942666.439744608</v>
      </c>
      <c r="R16" s="47">
        <f t="shared" si="0"/>
        <v>406664.66715764959</v>
      </c>
    </row>
    <row r="17" spans="1:18" ht="27" customHeight="1" x14ac:dyDescent="0.25">
      <c r="A17" s="76">
        <v>2024</v>
      </c>
      <c r="B17" s="77">
        <v>45306</v>
      </c>
      <c r="C17" s="77">
        <v>45488</v>
      </c>
      <c r="D17" s="78"/>
      <c r="E17" s="78"/>
      <c r="F17" s="78"/>
      <c r="G17" s="78"/>
      <c r="H17" s="78"/>
      <c r="I17" s="78"/>
      <c r="J17" s="78"/>
      <c r="K17" s="78" t="s">
        <v>17</v>
      </c>
      <c r="L17" s="78"/>
      <c r="M17" s="78"/>
      <c r="N17" s="79"/>
      <c r="O17" s="79"/>
      <c r="P17" s="80"/>
      <c r="Q17" s="48"/>
      <c r="R17" s="48" t="s">
        <v>18</v>
      </c>
    </row>
    <row r="18" spans="1:18" ht="27" customHeight="1" x14ac:dyDescent="0.25">
      <c r="A18" s="76"/>
      <c r="B18" s="77">
        <f>C17</f>
        <v>45488</v>
      </c>
      <c r="C18" s="77">
        <v>45672</v>
      </c>
      <c r="D18" s="81">
        <v>787398.97476881521</v>
      </c>
      <c r="E18" s="81">
        <v>337456.70347234985</v>
      </c>
      <c r="F18" s="81">
        <f>+E18*2.33333333333333</f>
        <v>787398.97476881521</v>
      </c>
      <c r="G18" s="81">
        <f>E18</f>
        <v>337456.70347234985</v>
      </c>
      <c r="H18" s="81">
        <f>+J18</f>
        <v>22872601.025231186</v>
      </c>
      <c r="I18" s="81">
        <f>$G$5-SUM($E$17:E18)</f>
        <v>9802543.2965276502</v>
      </c>
      <c r="J18" s="81">
        <f>$G$4-SUM($E$17:F18)-I18</f>
        <v>22872601.025231186</v>
      </c>
      <c r="K18" s="82" t="s">
        <v>17</v>
      </c>
      <c r="L18" s="81"/>
      <c r="M18" s="82">
        <f t="shared" ref="M18:M56" si="1">(G18*$N$4)/360*180</f>
        <v>6052.285976776594</v>
      </c>
      <c r="N18" s="83">
        <f>(H18+I18)*$N$8/360*180</f>
        <v>57181.502563077964</v>
      </c>
      <c r="O18" s="83">
        <f>+N9*G4</f>
        <v>135200</v>
      </c>
      <c r="P18" s="83">
        <f>G18*N$6/360*180</f>
        <v>421.82087934043733</v>
      </c>
      <c r="Q18" s="49">
        <f>SUM(L18:P18)</f>
        <v>198855.60941919498</v>
      </c>
      <c r="R18" s="50">
        <f>Q18*$G$8/1000000</f>
        <v>5411.8554103433917</v>
      </c>
    </row>
    <row r="19" spans="1:18" ht="27" customHeight="1" x14ac:dyDescent="0.25">
      <c r="A19" s="76">
        <f>A17+1</f>
        <v>2025</v>
      </c>
      <c r="B19" s="77">
        <f>C18</f>
        <v>45672</v>
      </c>
      <c r="C19" s="77">
        <v>45853</v>
      </c>
      <c r="D19" s="81">
        <v>3297103.3131238846</v>
      </c>
      <c r="E19" s="81">
        <v>1413044.2770530954</v>
      </c>
      <c r="F19" s="81">
        <f t="shared" ref="F19:F24" si="2">+E19*2.33333333333333</f>
        <v>3297103.3131238846</v>
      </c>
      <c r="G19" s="81">
        <f>G18+E19</f>
        <v>1750500.9805254452</v>
      </c>
      <c r="H19" s="81">
        <f t="shared" ref="H19:H23" si="3">+J19</f>
        <v>19575497.712107301</v>
      </c>
      <c r="I19" s="81">
        <f>$G$5-SUM($E$17:E19)</f>
        <v>8389499.0194745548</v>
      </c>
      <c r="J19" s="81">
        <f>$G$4-SUM($E$17:F19)-I19</f>
        <v>19575497.712107301</v>
      </c>
      <c r="K19" s="82" t="s">
        <v>17</v>
      </c>
      <c r="L19" s="81"/>
      <c r="M19" s="82">
        <f t="shared" si="1"/>
        <v>31395.23508572386</v>
      </c>
      <c r="N19" s="83">
        <f t="shared" ref="N19:N23" si="4">(H19+I19)*$N$8/360*180</f>
        <v>48938.744280268249</v>
      </c>
      <c r="O19" s="83"/>
      <c r="P19" s="83">
        <f t="shared" ref="P19:P56" si="5">G19*N$6/360*180</f>
        <v>2188.1262256568066</v>
      </c>
      <c r="Q19" s="49">
        <f>SUM(L19:P19)</f>
        <v>82522.105591648913</v>
      </c>
      <c r="R19" s="50">
        <f>Q19*$G$8/1000000</f>
        <v>2245.8391036767252</v>
      </c>
    </row>
    <row r="20" spans="1:18" ht="27" customHeight="1" x14ac:dyDescent="0.25">
      <c r="A20" s="76"/>
      <c r="B20" s="77">
        <f>C19</f>
        <v>45853</v>
      </c>
      <c r="C20" s="77">
        <v>46037</v>
      </c>
      <c r="D20" s="81">
        <v>3297103.3131238846</v>
      </c>
      <c r="E20" s="81">
        <v>1413044.2770530954</v>
      </c>
      <c r="F20" s="81">
        <f t="shared" si="2"/>
        <v>3297103.3131238846</v>
      </c>
      <c r="G20" s="81">
        <f>G19+E20</f>
        <v>3163545.2575785406</v>
      </c>
      <c r="H20" s="81">
        <f t="shared" si="3"/>
        <v>16278394.398983415</v>
      </c>
      <c r="I20" s="81">
        <f>$G$5-SUM($E$17:E20)</f>
        <v>6976454.7424214594</v>
      </c>
      <c r="J20" s="81">
        <f>$G$4-SUM($E$17:F20)-I20</f>
        <v>16278394.398983415</v>
      </c>
      <c r="K20" s="82" t="s">
        <v>17</v>
      </c>
      <c r="L20" s="81"/>
      <c r="M20" s="82">
        <f t="shared" si="1"/>
        <v>56738.184194671121</v>
      </c>
      <c r="N20" s="83">
        <f t="shared" si="4"/>
        <v>40695.985997458534</v>
      </c>
      <c r="O20" s="83"/>
      <c r="P20" s="83">
        <f t="shared" si="5"/>
        <v>3954.4315719731758</v>
      </c>
      <c r="Q20" s="49">
        <f t="shared" ref="Q20:Q56" si="6">SUM(L20:P20)</f>
        <v>101388.60176410283</v>
      </c>
      <c r="R20" s="50">
        <f t="shared" ref="R20:R56" si="7">Q20*$G$8/1000000</f>
        <v>2759.2907970100582</v>
      </c>
    </row>
    <row r="21" spans="1:18" ht="27" customHeight="1" x14ac:dyDescent="0.25">
      <c r="A21" s="76">
        <f>A19+1</f>
        <v>2026</v>
      </c>
      <c r="B21" s="77">
        <f t="shared" ref="B21:B56" si="8">C20</f>
        <v>46037</v>
      </c>
      <c r="C21" s="77">
        <v>46218</v>
      </c>
      <c r="D21" s="81">
        <v>3546512.3400085689</v>
      </c>
      <c r="E21" s="81">
        <v>1519933.8600036746</v>
      </c>
      <c r="F21" s="81">
        <f t="shared" si="2"/>
        <v>3546512.3400085689</v>
      </c>
      <c r="G21" s="81">
        <f t="shared" ref="G21:G29" si="9">G20+E21</f>
        <v>4683479.117582215</v>
      </c>
      <c r="H21" s="81">
        <f t="shared" si="3"/>
        <v>12731882.058974845</v>
      </c>
      <c r="I21" s="81">
        <f>$G$5-SUM($E$17:E21)</f>
        <v>5456520.882417785</v>
      </c>
      <c r="J21" s="81">
        <f>$G$4-SUM($E$17:F21)-I21</f>
        <v>12731882.058974845</v>
      </c>
      <c r="K21" s="82" t="s">
        <v>17</v>
      </c>
      <c r="L21" s="81"/>
      <c r="M21" s="82">
        <f t="shared" si="1"/>
        <v>83998.197973837028</v>
      </c>
      <c r="N21" s="83">
        <f t="shared" si="4"/>
        <v>31829.705147437104</v>
      </c>
      <c r="O21" s="83"/>
      <c r="P21" s="83">
        <f t="shared" si="5"/>
        <v>5854.34889697777</v>
      </c>
      <c r="Q21" s="49">
        <f t="shared" si="6"/>
        <v>121682.25201825191</v>
      </c>
      <c r="R21" s="50">
        <f t="shared" si="7"/>
        <v>3311.5824886767259</v>
      </c>
    </row>
    <row r="22" spans="1:18" ht="27" customHeight="1" x14ac:dyDescent="0.25">
      <c r="A22" s="76"/>
      <c r="B22" s="77">
        <f t="shared" si="8"/>
        <v>46218</v>
      </c>
      <c r="C22" s="77">
        <v>46402</v>
      </c>
      <c r="D22" s="81">
        <v>3546512.3400085689</v>
      </c>
      <c r="E22" s="81">
        <v>1519933.8600036746</v>
      </c>
      <c r="F22" s="81">
        <f>+E22*2.33333333333333</f>
        <v>3546512.3400085689</v>
      </c>
      <c r="G22" s="81">
        <f t="shared" si="9"/>
        <v>6203412.9775858894</v>
      </c>
      <c r="H22" s="81">
        <f t="shared" si="3"/>
        <v>9185369.7189662755</v>
      </c>
      <c r="I22" s="81">
        <f>$G$5-SUM($E$17:E22)</f>
        <v>3936587.0224141106</v>
      </c>
      <c r="J22" s="81">
        <f>$G$4-SUM($E$17:F22)-I22</f>
        <v>9185369.7189662755</v>
      </c>
      <c r="K22" s="82" t="s">
        <v>17</v>
      </c>
      <c r="L22" s="81"/>
      <c r="M22" s="82">
        <f t="shared" si="1"/>
        <v>111258.21175300292</v>
      </c>
      <c r="N22" s="83">
        <f t="shared" si="4"/>
        <v>22963.424297415677</v>
      </c>
      <c r="O22" s="83"/>
      <c r="P22" s="83">
        <f t="shared" si="5"/>
        <v>7754.2662219823624</v>
      </c>
      <c r="Q22" s="49">
        <f t="shared" si="6"/>
        <v>141975.90227240097</v>
      </c>
      <c r="R22" s="50">
        <f t="shared" si="7"/>
        <v>3863.8741803433923</v>
      </c>
    </row>
    <row r="23" spans="1:18" ht="27" customHeight="1" x14ac:dyDescent="0.25">
      <c r="A23" s="76">
        <f>A21+1</f>
        <v>2027</v>
      </c>
      <c r="B23" s="77">
        <f t="shared" si="8"/>
        <v>46402</v>
      </c>
      <c r="C23" s="77">
        <v>46583</v>
      </c>
      <c r="D23" s="81">
        <v>4592684.957437681</v>
      </c>
      <c r="E23" s="81">
        <v>1968293.5531875803</v>
      </c>
      <c r="F23" s="81">
        <f t="shared" si="2"/>
        <v>4592684.957437681</v>
      </c>
      <c r="G23" s="81">
        <f t="shared" si="9"/>
        <v>8171706.5307734702</v>
      </c>
      <c r="H23" s="81">
        <f t="shared" si="3"/>
        <v>4592684.7615285981</v>
      </c>
      <c r="I23" s="81">
        <f>$G$5-SUM($E$17:E23)</f>
        <v>1968293.4692265298</v>
      </c>
      <c r="J23" s="81">
        <f>$G$4-SUM($E$17:F23)-I23</f>
        <v>4592684.7615285981</v>
      </c>
      <c r="K23" s="82" t="s">
        <v>17</v>
      </c>
      <c r="L23" s="81"/>
      <c r="M23" s="82">
        <f t="shared" si="1"/>
        <v>146559.55662942218</v>
      </c>
      <c r="N23" s="83">
        <f t="shared" si="4"/>
        <v>11481.711903821475</v>
      </c>
      <c r="O23" s="83"/>
      <c r="P23" s="83">
        <f t="shared" si="5"/>
        <v>10214.633163466839</v>
      </c>
      <c r="Q23" s="49">
        <f t="shared" si="6"/>
        <v>168255.9016967105</v>
      </c>
      <c r="R23" s="50">
        <f t="shared" si="7"/>
        <v>4579.0843646759758</v>
      </c>
    </row>
    <row r="24" spans="1:18" ht="27" customHeight="1" x14ac:dyDescent="0.25">
      <c r="A24" s="76"/>
      <c r="B24" s="77">
        <f t="shared" si="8"/>
        <v>46583</v>
      </c>
      <c r="C24" s="77">
        <v>46767</v>
      </c>
      <c r="D24" s="81">
        <v>4592684.957437681</v>
      </c>
      <c r="E24" s="81">
        <v>1968293.5531875803</v>
      </c>
      <c r="F24" s="81">
        <f t="shared" si="2"/>
        <v>4592684.957437681</v>
      </c>
      <c r="G24" s="81">
        <f>G23+E24</f>
        <v>10140000.083961051</v>
      </c>
      <c r="H24" s="81"/>
      <c r="I24" s="81"/>
      <c r="J24" s="81"/>
      <c r="K24" s="82" t="s">
        <v>17</v>
      </c>
      <c r="L24" s="81"/>
      <c r="M24" s="82">
        <f t="shared" si="1"/>
        <v>181860.90150584144</v>
      </c>
      <c r="N24" s="83">
        <f>+$N$8*I24*1/0.3/2</f>
        <v>0</v>
      </c>
      <c r="O24" s="83"/>
      <c r="P24" s="83">
        <f t="shared" si="5"/>
        <v>12675.000104951316</v>
      </c>
      <c r="Q24" s="49">
        <f t="shared" si="6"/>
        <v>194535.90161079276</v>
      </c>
      <c r="R24" s="50">
        <f t="shared" si="7"/>
        <v>5294.2945623377245</v>
      </c>
    </row>
    <row r="25" spans="1:18" ht="27" customHeight="1" x14ac:dyDescent="0.25">
      <c r="A25" s="76">
        <f>A23+1</f>
        <v>2028</v>
      </c>
      <c r="B25" s="77">
        <f t="shared" si="8"/>
        <v>46767</v>
      </c>
      <c r="C25" s="77">
        <v>46949</v>
      </c>
      <c r="D25" s="77"/>
      <c r="E25" s="81">
        <f>'[1]Giải ngân vốn vay'!Q67*1000000000/2/G8</f>
        <v>0</v>
      </c>
      <c r="F25" s="81"/>
      <c r="G25" s="81">
        <f t="shared" si="9"/>
        <v>10140000.083961051</v>
      </c>
      <c r="H25" s="81"/>
      <c r="I25" s="81"/>
      <c r="J25" s="81"/>
      <c r="K25" s="82" t="s">
        <v>17</v>
      </c>
      <c r="L25" s="81"/>
      <c r="M25" s="82">
        <f t="shared" si="1"/>
        <v>181860.90150584144</v>
      </c>
      <c r="N25" s="83">
        <f>'[1]chi phí tài chính'!D10</f>
        <v>0</v>
      </c>
      <c r="O25" s="83"/>
      <c r="P25" s="83">
        <f t="shared" si="5"/>
        <v>12675.000104951316</v>
      </c>
      <c r="Q25" s="49">
        <f t="shared" si="6"/>
        <v>194535.90161079276</v>
      </c>
      <c r="R25" s="50">
        <f t="shared" si="7"/>
        <v>5294.2945623377245</v>
      </c>
    </row>
    <row r="26" spans="1:18" ht="27" customHeight="1" x14ac:dyDescent="0.25">
      <c r="A26" s="76"/>
      <c r="B26" s="77">
        <f t="shared" si="8"/>
        <v>46949</v>
      </c>
      <c r="C26" s="77">
        <v>47133</v>
      </c>
      <c r="D26" s="77"/>
      <c r="E26" s="81">
        <f>E25</f>
        <v>0</v>
      </c>
      <c r="F26" s="81"/>
      <c r="G26" s="81">
        <f t="shared" si="9"/>
        <v>10140000.083961051</v>
      </c>
      <c r="H26" s="81"/>
      <c r="I26" s="81"/>
      <c r="J26" s="81"/>
      <c r="K26" s="82" t="s">
        <v>17</v>
      </c>
      <c r="L26" s="81"/>
      <c r="M26" s="82">
        <f t="shared" si="1"/>
        <v>181860.90150584144</v>
      </c>
      <c r="N26" s="83">
        <f>'[1]chi phí tài chính'!D11</f>
        <v>0</v>
      </c>
      <c r="O26" s="83"/>
      <c r="P26" s="83">
        <f t="shared" si="5"/>
        <v>12675.000104951316</v>
      </c>
      <c r="Q26" s="49">
        <f t="shared" si="6"/>
        <v>194535.90161079276</v>
      </c>
      <c r="R26" s="50">
        <f t="shared" si="7"/>
        <v>5294.2945623377245</v>
      </c>
    </row>
    <row r="27" spans="1:18" ht="27" customHeight="1" x14ac:dyDescent="0.25">
      <c r="A27" s="76">
        <f>A25+1</f>
        <v>2029</v>
      </c>
      <c r="B27" s="77">
        <f t="shared" si="8"/>
        <v>47133</v>
      </c>
      <c r="C27" s="77">
        <v>47314</v>
      </c>
      <c r="D27" s="77"/>
      <c r="E27" s="84"/>
      <c r="F27" s="84"/>
      <c r="G27" s="81">
        <f t="shared" si="9"/>
        <v>10140000.083961051</v>
      </c>
      <c r="H27" s="81"/>
      <c r="I27" s="81"/>
      <c r="J27" s="81"/>
      <c r="K27" s="82" t="s">
        <v>17</v>
      </c>
      <c r="L27" s="81"/>
      <c r="M27" s="82">
        <f t="shared" si="1"/>
        <v>181860.90150584144</v>
      </c>
      <c r="N27" s="83">
        <f>'[1]chi phí tài chính'!D12</f>
        <v>0</v>
      </c>
      <c r="O27" s="83"/>
      <c r="P27" s="83">
        <f t="shared" si="5"/>
        <v>12675.000104951316</v>
      </c>
      <c r="Q27" s="49">
        <f t="shared" si="6"/>
        <v>194535.90161079276</v>
      </c>
      <c r="R27" s="50">
        <f t="shared" si="7"/>
        <v>5294.2945623377245</v>
      </c>
    </row>
    <row r="28" spans="1:18" ht="27" customHeight="1" x14ac:dyDescent="0.25">
      <c r="A28" s="76"/>
      <c r="B28" s="77">
        <f t="shared" si="8"/>
        <v>47314</v>
      </c>
      <c r="C28" s="77">
        <v>47498</v>
      </c>
      <c r="D28" s="77"/>
      <c r="E28" s="84"/>
      <c r="F28" s="84"/>
      <c r="G28" s="81">
        <f t="shared" si="9"/>
        <v>10140000.083961051</v>
      </c>
      <c r="H28" s="81"/>
      <c r="I28" s="81"/>
      <c r="J28" s="81"/>
      <c r="K28" s="82" t="s">
        <v>17</v>
      </c>
      <c r="L28" s="81"/>
      <c r="M28" s="82">
        <f t="shared" si="1"/>
        <v>181860.90150584144</v>
      </c>
      <c r="N28" s="83"/>
      <c r="O28" s="83"/>
      <c r="P28" s="83">
        <f t="shared" si="5"/>
        <v>12675.000104951316</v>
      </c>
      <c r="Q28" s="49">
        <f t="shared" si="6"/>
        <v>194535.90161079276</v>
      </c>
      <c r="R28" s="50">
        <f t="shared" si="7"/>
        <v>5294.2945623377245</v>
      </c>
    </row>
    <row r="29" spans="1:18" ht="27" customHeight="1" x14ac:dyDescent="0.25">
      <c r="A29" s="76">
        <f>A27+1</f>
        <v>2030</v>
      </c>
      <c r="B29" s="77">
        <f t="shared" si="8"/>
        <v>47498</v>
      </c>
      <c r="C29" s="77">
        <v>47679</v>
      </c>
      <c r="D29" s="77"/>
      <c r="E29" s="84"/>
      <c r="F29" s="84"/>
      <c r="G29" s="81">
        <f t="shared" si="9"/>
        <v>10140000.083961051</v>
      </c>
      <c r="H29" s="81"/>
      <c r="I29" s="81"/>
      <c r="J29" s="81"/>
      <c r="K29" s="82" t="s">
        <v>17</v>
      </c>
      <c r="L29" s="81"/>
      <c r="M29" s="82">
        <f t="shared" si="1"/>
        <v>181860.90150584144</v>
      </c>
      <c r="N29" s="83"/>
      <c r="O29" s="83"/>
      <c r="P29" s="83">
        <f t="shared" si="5"/>
        <v>12675.000104951316</v>
      </c>
      <c r="Q29" s="49">
        <f t="shared" si="6"/>
        <v>194535.90161079276</v>
      </c>
      <c r="R29" s="50">
        <f t="shared" si="7"/>
        <v>5294.2945623377245</v>
      </c>
    </row>
    <row r="30" spans="1:18" ht="27" customHeight="1" x14ac:dyDescent="0.25">
      <c r="A30" s="76"/>
      <c r="B30" s="77">
        <f t="shared" si="8"/>
        <v>47679</v>
      </c>
      <c r="C30" s="77">
        <v>47863</v>
      </c>
      <c r="D30" s="77"/>
      <c r="E30" s="84"/>
      <c r="F30" s="84"/>
      <c r="G30" s="81">
        <f>G29+E30</f>
        <v>10140000.083961051</v>
      </c>
      <c r="H30" s="81"/>
      <c r="I30" s="81"/>
      <c r="J30" s="81"/>
      <c r="K30" s="82" t="s">
        <v>17</v>
      </c>
      <c r="L30" s="81"/>
      <c r="M30" s="82">
        <f t="shared" si="1"/>
        <v>181860.90150584144</v>
      </c>
      <c r="N30" s="83"/>
      <c r="O30" s="83"/>
      <c r="P30" s="83">
        <f t="shared" si="5"/>
        <v>12675.000104951316</v>
      </c>
      <c r="Q30" s="49">
        <f t="shared" si="6"/>
        <v>194535.90161079276</v>
      </c>
      <c r="R30" s="50">
        <f t="shared" si="7"/>
        <v>5294.2945623377245</v>
      </c>
    </row>
    <row r="31" spans="1:18" ht="27" customHeight="1" x14ac:dyDescent="0.25">
      <c r="A31" s="76">
        <f>A29+1</f>
        <v>2031</v>
      </c>
      <c r="B31" s="77">
        <f t="shared" si="8"/>
        <v>47863</v>
      </c>
      <c r="C31" s="77">
        <v>48044</v>
      </c>
      <c r="D31" s="77"/>
      <c r="E31" s="84"/>
      <c r="F31" s="84"/>
      <c r="G31" s="81">
        <f>G30+E31</f>
        <v>10140000.083961051</v>
      </c>
      <c r="H31" s="81"/>
      <c r="I31" s="81"/>
      <c r="J31" s="81"/>
      <c r="K31" s="85">
        <f>G$9</f>
        <v>7.6923076923076927E-2</v>
      </c>
      <c r="L31" s="81">
        <f t="shared" ref="L31:L56" si="10">G$31*K31/2</f>
        <v>390000.00322927121</v>
      </c>
      <c r="M31" s="82">
        <f t="shared" si="1"/>
        <v>181860.90150584144</v>
      </c>
      <c r="N31" s="83"/>
      <c r="O31" s="83"/>
      <c r="P31" s="83">
        <f t="shared" si="5"/>
        <v>12675.000104951316</v>
      </c>
      <c r="Q31" s="49">
        <f>SUM(L31:P31)</f>
        <v>584535.904840064</v>
      </c>
      <c r="R31" s="50">
        <f>Q31*$G$8/1000000</f>
        <v>15908.144650222341</v>
      </c>
    </row>
    <row r="32" spans="1:18" ht="27" customHeight="1" x14ac:dyDescent="0.25">
      <c r="A32" s="76"/>
      <c r="B32" s="77">
        <f t="shared" si="8"/>
        <v>48044</v>
      </c>
      <c r="C32" s="77">
        <v>48228</v>
      </c>
      <c r="D32" s="77"/>
      <c r="E32" s="84"/>
      <c r="F32" s="84"/>
      <c r="G32" s="81">
        <f>G31-L31</f>
        <v>9750000.0807317793</v>
      </c>
      <c r="H32" s="81"/>
      <c r="I32" s="81"/>
      <c r="J32" s="81"/>
      <c r="K32" s="85">
        <f t="shared" ref="K32:K36" si="11">G$9</f>
        <v>7.6923076923076927E-2</v>
      </c>
      <c r="L32" s="81">
        <f t="shared" si="10"/>
        <v>390000.00322927121</v>
      </c>
      <c r="M32" s="82">
        <f t="shared" si="1"/>
        <v>174866.25144792447</v>
      </c>
      <c r="N32" s="83"/>
      <c r="O32" s="83"/>
      <c r="P32" s="83">
        <f t="shared" si="5"/>
        <v>12187.500100914724</v>
      </c>
      <c r="Q32" s="49">
        <f t="shared" si="6"/>
        <v>577053.75477811042</v>
      </c>
      <c r="R32" s="50">
        <f>Q32*$G$8/1000000</f>
        <v>15704.517936286276</v>
      </c>
    </row>
    <row r="33" spans="1:18" ht="27" customHeight="1" x14ac:dyDescent="0.25">
      <c r="A33" s="76">
        <f>A31+1</f>
        <v>2032</v>
      </c>
      <c r="B33" s="77">
        <f t="shared" si="8"/>
        <v>48228</v>
      </c>
      <c r="C33" s="77">
        <v>48410</v>
      </c>
      <c r="D33" s="77"/>
      <c r="E33" s="84"/>
      <c r="F33" s="84"/>
      <c r="G33" s="81">
        <f>G32-L32</f>
        <v>9360000.0775025077</v>
      </c>
      <c r="H33" s="81"/>
      <c r="I33" s="81"/>
      <c r="J33" s="81"/>
      <c r="K33" s="85">
        <f t="shared" si="11"/>
        <v>7.6923076923076927E-2</v>
      </c>
      <c r="L33" s="81">
        <f t="shared" si="10"/>
        <v>390000.00322927121</v>
      </c>
      <c r="M33" s="82">
        <f t="shared" si="1"/>
        <v>167871.60139000748</v>
      </c>
      <c r="N33" s="83"/>
      <c r="O33" s="83"/>
      <c r="P33" s="83">
        <f t="shared" si="5"/>
        <v>11700.000096878135</v>
      </c>
      <c r="Q33" s="49">
        <f t="shared" si="6"/>
        <v>569571.60471615684</v>
      </c>
      <c r="R33" s="50">
        <f t="shared" si="7"/>
        <v>15500.891222350208</v>
      </c>
    </row>
    <row r="34" spans="1:18" ht="27" customHeight="1" x14ac:dyDescent="0.25">
      <c r="A34" s="76"/>
      <c r="B34" s="77">
        <f t="shared" si="8"/>
        <v>48410</v>
      </c>
      <c r="C34" s="77">
        <v>48594</v>
      </c>
      <c r="D34" s="77"/>
      <c r="E34" s="84"/>
      <c r="F34" s="84"/>
      <c r="G34" s="81">
        <f t="shared" ref="G34:G56" si="12">G33-L33</f>
        <v>8970000.0742732361</v>
      </c>
      <c r="H34" s="81"/>
      <c r="I34" s="81"/>
      <c r="J34" s="81"/>
      <c r="K34" s="85">
        <f t="shared" si="11"/>
        <v>7.6923076923076927E-2</v>
      </c>
      <c r="L34" s="81">
        <f t="shared" si="10"/>
        <v>390000.00322927121</v>
      </c>
      <c r="M34" s="82">
        <f t="shared" si="1"/>
        <v>160876.95133209048</v>
      </c>
      <c r="N34" s="83"/>
      <c r="O34" s="83"/>
      <c r="P34" s="83">
        <f t="shared" si="5"/>
        <v>11212.500092841545</v>
      </c>
      <c r="Q34" s="49">
        <f t="shared" si="6"/>
        <v>562089.45465420326</v>
      </c>
      <c r="R34" s="50">
        <f t="shared" si="7"/>
        <v>15297.264508414142</v>
      </c>
    </row>
    <row r="35" spans="1:18" ht="27" customHeight="1" x14ac:dyDescent="0.25">
      <c r="A35" s="76">
        <f>A33+1</f>
        <v>2033</v>
      </c>
      <c r="B35" s="77">
        <f t="shared" si="8"/>
        <v>48594</v>
      </c>
      <c r="C35" s="77">
        <v>48775</v>
      </c>
      <c r="D35" s="77"/>
      <c r="E35" s="84"/>
      <c r="F35" s="84"/>
      <c r="G35" s="81">
        <f t="shared" si="12"/>
        <v>8580000.0710439645</v>
      </c>
      <c r="H35" s="81"/>
      <c r="I35" s="81"/>
      <c r="J35" s="81"/>
      <c r="K35" s="85">
        <f t="shared" si="11"/>
        <v>7.6923076923076927E-2</v>
      </c>
      <c r="L35" s="81">
        <f t="shared" si="10"/>
        <v>390000.00322927121</v>
      </c>
      <c r="M35" s="82">
        <f t="shared" si="1"/>
        <v>153882.30127417349</v>
      </c>
      <c r="N35" s="83"/>
      <c r="O35" s="83"/>
      <c r="P35" s="83">
        <f t="shared" si="5"/>
        <v>10725.000088804956</v>
      </c>
      <c r="Q35" s="49">
        <f t="shared" si="6"/>
        <v>554607.30459224968</v>
      </c>
      <c r="R35" s="50">
        <f t="shared" si="7"/>
        <v>15093.637794478074</v>
      </c>
    </row>
    <row r="36" spans="1:18" ht="27" customHeight="1" x14ac:dyDescent="0.25">
      <c r="A36" s="76"/>
      <c r="B36" s="77">
        <f t="shared" si="8"/>
        <v>48775</v>
      </c>
      <c r="C36" s="77">
        <v>48959</v>
      </c>
      <c r="D36" s="77"/>
      <c r="E36" s="84"/>
      <c r="F36" s="84"/>
      <c r="G36" s="81">
        <f t="shared" si="12"/>
        <v>8190000.0678146929</v>
      </c>
      <c r="H36" s="81"/>
      <c r="I36" s="81"/>
      <c r="J36" s="81"/>
      <c r="K36" s="85">
        <f t="shared" si="11"/>
        <v>7.6923076923076927E-2</v>
      </c>
      <c r="L36" s="81">
        <f t="shared" si="10"/>
        <v>390000.00322927121</v>
      </c>
      <c r="M36" s="82">
        <f t="shared" si="1"/>
        <v>146887.65121625652</v>
      </c>
      <c r="N36" s="83"/>
      <c r="O36" s="83"/>
      <c r="P36" s="83">
        <f t="shared" si="5"/>
        <v>10237.500084768366</v>
      </c>
      <c r="Q36" s="49">
        <f t="shared" si="6"/>
        <v>547125.1545302961</v>
      </c>
      <c r="R36" s="50">
        <f t="shared" si="7"/>
        <v>14890.01108054201</v>
      </c>
    </row>
    <row r="37" spans="1:18" ht="27" customHeight="1" x14ac:dyDescent="0.25">
      <c r="A37" s="76">
        <f>A35+1</f>
        <v>2034</v>
      </c>
      <c r="B37" s="77">
        <f t="shared" si="8"/>
        <v>48959</v>
      </c>
      <c r="C37" s="77">
        <v>49140</v>
      </c>
      <c r="D37" s="77"/>
      <c r="E37" s="84"/>
      <c r="F37" s="84"/>
      <c r="G37" s="81">
        <f t="shared" si="12"/>
        <v>7800000.0645854212</v>
      </c>
      <c r="H37" s="81"/>
      <c r="I37" s="81"/>
      <c r="J37" s="81"/>
      <c r="K37" s="85">
        <f>G$9</f>
        <v>7.6923076923076927E-2</v>
      </c>
      <c r="L37" s="81">
        <f t="shared" si="10"/>
        <v>390000.00322927121</v>
      </c>
      <c r="M37" s="82">
        <f t="shared" si="1"/>
        <v>139893.00115833952</v>
      </c>
      <c r="N37" s="83"/>
      <c r="O37" s="83"/>
      <c r="P37" s="83">
        <f t="shared" si="5"/>
        <v>9750.0000807317774</v>
      </c>
      <c r="Q37" s="49">
        <f t="shared" si="6"/>
        <v>539643.00446834252</v>
      </c>
      <c r="R37" s="50">
        <f t="shared" si="7"/>
        <v>14686.384366605942</v>
      </c>
    </row>
    <row r="38" spans="1:18" ht="27" customHeight="1" x14ac:dyDescent="0.25">
      <c r="A38" s="76"/>
      <c r="B38" s="77">
        <f t="shared" si="8"/>
        <v>49140</v>
      </c>
      <c r="C38" s="77">
        <v>49324</v>
      </c>
      <c r="D38" s="77"/>
      <c r="E38" s="84"/>
      <c r="F38" s="84"/>
      <c r="G38" s="81">
        <f t="shared" si="12"/>
        <v>7410000.0613561496</v>
      </c>
      <c r="H38" s="81"/>
      <c r="I38" s="81"/>
      <c r="J38" s="81"/>
      <c r="K38" s="85">
        <f t="shared" ref="K38:K56" si="13">K37</f>
        <v>7.6923076923076927E-2</v>
      </c>
      <c r="L38" s="81">
        <f t="shared" si="10"/>
        <v>390000.00322927121</v>
      </c>
      <c r="M38" s="82">
        <f t="shared" si="1"/>
        <v>132898.35110042253</v>
      </c>
      <c r="N38" s="83"/>
      <c r="O38" s="83"/>
      <c r="P38" s="83">
        <f t="shared" si="5"/>
        <v>9262.5000766951871</v>
      </c>
      <c r="Q38" s="49">
        <f t="shared" si="6"/>
        <v>532160.85440638894</v>
      </c>
      <c r="R38" s="50">
        <f t="shared" si="7"/>
        <v>14482.757652669874</v>
      </c>
    </row>
    <row r="39" spans="1:18" ht="27" customHeight="1" x14ac:dyDescent="0.25">
      <c r="A39" s="76">
        <f>A37+1</f>
        <v>2035</v>
      </c>
      <c r="B39" s="77">
        <f t="shared" si="8"/>
        <v>49324</v>
      </c>
      <c r="C39" s="77">
        <v>49505</v>
      </c>
      <c r="D39" s="77"/>
      <c r="E39" s="84"/>
      <c r="F39" s="84"/>
      <c r="G39" s="81">
        <f t="shared" si="12"/>
        <v>7020000.058126878</v>
      </c>
      <c r="H39" s="81"/>
      <c r="I39" s="81"/>
      <c r="J39" s="81"/>
      <c r="K39" s="85">
        <f t="shared" si="13"/>
        <v>7.6923076923076927E-2</v>
      </c>
      <c r="L39" s="81">
        <f t="shared" si="10"/>
        <v>390000.00322927121</v>
      </c>
      <c r="M39" s="82">
        <f t="shared" si="1"/>
        <v>125903.70104250556</v>
      </c>
      <c r="N39" s="83"/>
      <c r="O39" s="83"/>
      <c r="P39" s="83">
        <f t="shared" si="5"/>
        <v>8775.0000726585986</v>
      </c>
      <c r="Q39" s="49">
        <f t="shared" si="6"/>
        <v>524678.70434443536</v>
      </c>
      <c r="R39" s="50">
        <f t="shared" si="7"/>
        <v>14279.130938733808</v>
      </c>
    </row>
    <row r="40" spans="1:18" ht="27" customHeight="1" x14ac:dyDescent="0.25">
      <c r="A40" s="76"/>
      <c r="B40" s="77">
        <f t="shared" si="8"/>
        <v>49505</v>
      </c>
      <c r="C40" s="77">
        <v>49689</v>
      </c>
      <c r="D40" s="77"/>
      <c r="E40" s="84"/>
      <c r="F40" s="84"/>
      <c r="G40" s="81">
        <f t="shared" si="12"/>
        <v>6630000.0548976064</v>
      </c>
      <c r="H40" s="81"/>
      <c r="I40" s="81"/>
      <c r="J40" s="81"/>
      <c r="K40" s="85">
        <f t="shared" si="13"/>
        <v>7.6923076923076927E-2</v>
      </c>
      <c r="L40" s="81">
        <f t="shared" si="10"/>
        <v>390000.00322927121</v>
      </c>
      <c r="M40" s="82">
        <f t="shared" si="1"/>
        <v>118909.05098458858</v>
      </c>
      <c r="N40" s="83"/>
      <c r="O40" s="83"/>
      <c r="P40" s="83">
        <f t="shared" si="5"/>
        <v>8287.5000686220083</v>
      </c>
      <c r="Q40" s="49">
        <f t="shared" si="6"/>
        <v>517196.55428248178</v>
      </c>
      <c r="R40" s="50">
        <f t="shared" si="7"/>
        <v>14075.504224797742</v>
      </c>
    </row>
    <row r="41" spans="1:18" ht="27" customHeight="1" x14ac:dyDescent="0.25">
      <c r="A41" s="76">
        <f>A39+1</f>
        <v>2036</v>
      </c>
      <c r="B41" s="77">
        <f t="shared" si="8"/>
        <v>49689</v>
      </c>
      <c r="C41" s="77">
        <v>49871</v>
      </c>
      <c r="D41" s="77"/>
      <c r="E41" s="84"/>
      <c r="F41" s="84"/>
      <c r="G41" s="81">
        <f t="shared" si="12"/>
        <v>6240000.0516683348</v>
      </c>
      <c r="H41" s="81"/>
      <c r="I41" s="81"/>
      <c r="J41" s="81"/>
      <c r="K41" s="85">
        <f t="shared" si="13"/>
        <v>7.6923076923076927E-2</v>
      </c>
      <c r="L41" s="81">
        <f t="shared" si="10"/>
        <v>390000.00322927121</v>
      </c>
      <c r="M41" s="82">
        <f t="shared" si="1"/>
        <v>111914.40092667157</v>
      </c>
      <c r="N41" s="83"/>
      <c r="O41" s="83"/>
      <c r="P41" s="83">
        <f t="shared" si="5"/>
        <v>7800.0000645854188</v>
      </c>
      <c r="Q41" s="49">
        <f t="shared" si="6"/>
        <v>509714.4042205282</v>
      </c>
      <c r="R41" s="50">
        <f>Q41*$G$8/1000000</f>
        <v>13871.877510861676</v>
      </c>
    </row>
    <row r="42" spans="1:18" ht="27" customHeight="1" x14ac:dyDescent="0.25">
      <c r="A42" s="76"/>
      <c r="B42" s="77">
        <f t="shared" si="8"/>
        <v>49871</v>
      </c>
      <c r="C42" s="77">
        <v>50055</v>
      </c>
      <c r="D42" s="77"/>
      <c r="E42" s="84"/>
      <c r="F42" s="84"/>
      <c r="G42" s="81">
        <f t="shared" si="12"/>
        <v>5850000.0484390631</v>
      </c>
      <c r="H42" s="81"/>
      <c r="I42" s="81"/>
      <c r="J42" s="81"/>
      <c r="K42" s="85">
        <f t="shared" si="13"/>
        <v>7.6923076923076927E-2</v>
      </c>
      <c r="L42" s="81">
        <f t="shared" si="10"/>
        <v>390000.00322927121</v>
      </c>
      <c r="M42" s="82">
        <f t="shared" si="1"/>
        <v>104919.75086875461</v>
      </c>
      <c r="N42" s="83"/>
      <c r="O42" s="83"/>
      <c r="P42" s="83">
        <f t="shared" si="5"/>
        <v>7312.5000605488294</v>
      </c>
      <c r="Q42" s="49">
        <f t="shared" si="6"/>
        <v>502232.25415857468</v>
      </c>
      <c r="R42" s="50">
        <f t="shared" si="7"/>
        <v>13668.250796925609</v>
      </c>
    </row>
    <row r="43" spans="1:18" ht="27" customHeight="1" x14ac:dyDescent="0.25">
      <c r="A43" s="76">
        <f>A41+1</f>
        <v>2037</v>
      </c>
      <c r="B43" s="77">
        <f t="shared" si="8"/>
        <v>50055</v>
      </c>
      <c r="C43" s="77">
        <v>50236</v>
      </c>
      <c r="D43" s="77"/>
      <c r="E43" s="84"/>
      <c r="F43" s="84"/>
      <c r="G43" s="81">
        <f t="shared" si="12"/>
        <v>5460000.0452097915</v>
      </c>
      <c r="H43" s="81"/>
      <c r="I43" s="81"/>
      <c r="J43" s="81"/>
      <c r="K43" s="85">
        <f t="shared" si="13"/>
        <v>7.6923076923076927E-2</v>
      </c>
      <c r="L43" s="81">
        <f t="shared" si="10"/>
        <v>390000.00322927121</v>
      </c>
      <c r="M43" s="82">
        <f t="shared" si="1"/>
        <v>97925.100810837626</v>
      </c>
      <c r="N43" s="83"/>
      <c r="O43" s="83"/>
      <c r="P43" s="83">
        <f t="shared" si="5"/>
        <v>6825.00005651224</v>
      </c>
      <c r="Q43" s="49">
        <f t="shared" si="6"/>
        <v>494750.1040966211</v>
      </c>
      <c r="R43" s="50">
        <f t="shared" si="7"/>
        <v>13464.624082989543</v>
      </c>
    </row>
    <row r="44" spans="1:18" ht="27" customHeight="1" x14ac:dyDescent="0.25">
      <c r="A44" s="76"/>
      <c r="B44" s="77">
        <f t="shared" si="8"/>
        <v>50236</v>
      </c>
      <c r="C44" s="77">
        <v>50420</v>
      </c>
      <c r="D44" s="77"/>
      <c r="E44" s="84"/>
      <c r="F44" s="84"/>
      <c r="G44" s="81">
        <f t="shared" si="12"/>
        <v>5070000.0419805199</v>
      </c>
      <c r="H44" s="81"/>
      <c r="I44" s="81"/>
      <c r="J44" s="81"/>
      <c r="K44" s="85">
        <f t="shared" si="13"/>
        <v>7.6923076923076927E-2</v>
      </c>
      <c r="L44" s="81">
        <f t="shared" si="10"/>
        <v>390000.00322927121</v>
      </c>
      <c r="M44" s="82">
        <f t="shared" si="1"/>
        <v>90930.450752920617</v>
      </c>
      <c r="N44" s="83"/>
      <c r="O44" s="83"/>
      <c r="P44" s="83">
        <f t="shared" si="5"/>
        <v>6337.5000524756497</v>
      </c>
      <c r="Q44" s="49">
        <f t="shared" si="6"/>
        <v>487267.95403466752</v>
      </c>
      <c r="R44" s="50">
        <f t="shared" si="7"/>
        <v>13260.997369053477</v>
      </c>
    </row>
    <row r="45" spans="1:18" ht="27" customHeight="1" x14ac:dyDescent="0.25">
      <c r="A45" s="76">
        <f>A43+1</f>
        <v>2038</v>
      </c>
      <c r="B45" s="77">
        <f t="shared" si="8"/>
        <v>50420</v>
      </c>
      <c r="C45" s="77">
        <v>50601</v>
      </c>
      <c r="D45" s="77"/>
      <c r="E45" s="84"/>
      <c r="F45" s="84"/>
      <c r="G45" s="81">
        <f t="shared" si="12"/>
        <v>4680000.0387512483</v>
      </c>
      <c r="H45" s="81"/>
      <c r="I45" s="81"/>
      <c r="J45" s="81"/>
      <c r="K45" s="85">
        <f t="shared" si="13"/>
        <v>7.6923076923076927E-2</v>
      </c>
      <c r="L45" s="81">
        <f t="shared" si="10"/>
        <v>390000.00322927121</v>
      </c>
      <c r="M45" s="82">
        <f t="shared" si="1"/>
        <v>83935.800695003636</v>
      </c>
      <c r="N45" s="83"/>
      <c r="O45" s="83"/>
      <c r="P45" s="83">
        <f t="shared" si="5"/>
        <v>5850.0000484390603</v>
      </c>
      <c r="Q45" s="49">
        <f t="shared" si="6"/>
        <v>479785.80397271394</v>
      </c>
      <c r="R45" s="50">
        <f t="shared" si="7"/>
        <v>13057.370655117411</v>
      </c>
    </row>
    <row r="46" spans="1:18" ht="27" customHeight="1" x14ac:dyDescent="0.25">
      <c r="A46" s="76"/>
      <c r="B46" s="77">
        <f t="shared" si="8"/>
        <v>50601</v>
      </c>
      <c r="C46" s="77">
        <v>50785</v>
      </c>
      <c r="D46" s="77"/>
      <c r="E46" s="84"/>
      <c r="F46" s="84"/>
      <c r="G46" s="81">
        <f t="shared" si="12"/>
        <v>4290000.0355219766</v>
      </c>
      <c r="H46" s="81"/>
      <c r="I46" s="81"/>
      <c r="J46" s="81"/>
      <c r="K46" s="85">
        <f t="shared" si="13"/>
        <v>7.6923076923076927E-2</v>
      </c>
      <c r="L46" s="81">
        <f t="shared" si="10"/>
        <v>390000.00322927121</v>
      </c>
      <c r="M46" s="82">
        <f t="shared" si="1"/>
        <v>76941.150637086655</v>
      </c>
      <c r="N46" s="83"/>
      <c r="O46" s="83"/>
      <c r="P46" s="83">
        <f t="shared" si="5"/>
        <v>5362.5000444024708</v>
      </c>
      <c r="Q46" s="49">
        <f t="shared" si="6"/>
        <v>472303.65391076036</v>
      </c>
      <c r="R46" s="50">
        <f t="shared" si="7"/>
        <v>12853.743941181343</v>
      </c>
    </row>
    <row r="47" spans="1:18" ht="27" customHeight="1" x14ac:dyDescent="0.25">
      <c r="A47" s="76">
        <f>A45+1</f>
        <v>2039</v>
      </c>
      <c r="B47" s="77">
        <f t="shared" si="8"/>
        <v>50785</v>
      </c>
      <c r="C47" s="77">
        <v>50966</v>
      </c>
      <c r="D47" s="77"/>
      <c r="E47" s="84"/>
      <c r="F47" s="84"/>
      <c r="G47" s="81">
        <f t="shared" si="12"/>
        <v>3900000.0322927055</v>
      </c>
      <c r="H47" s="81"/>
      <c r="I47" s="81"/>
      <c r="J47" s="81"/>
      <c r="K47" s="85">
        <f t="shared" si="13"/>
        <v>7.6923076923076927E-2</v>
      </c>
      <c r="L47" s="81">
        <f t="shared" si="10"/>
        <v>390000.00322927121</v>
      </c>
      <c r="M47" s="82">
        <f t="shared" si="1"/>
        <v>69946.500579169675</v>
      </c>
      <c r="N47" s="83"/>
      <c r="O47" s="83"/>
      <c r="P47" s="83">
        <f t="shared" si="5"/>
        <v>4875.0000403658823</v>
      </c>
      <c r="Q47" s="49">
        <f t="shared" si="6"/>
        <v>464821.50384880678</v>
      </c>
      <c r="R47" s="50">
        <f t="shared" si="7"/>
        <v>12650.117227245277</v>
      </c>
    </row>
    <row r="48" spans="1:18" ht="27" customHeight="1" x14ac:dyDescent="0.25">
      <c r="A48" s="76"/>
      <c r="B48" s="77">
        <f t="shared" si="8"/>
        <v>50966</v>
      </c>
      <c r="C48" s="77">
        <v>51150</v>
      </c>
      <c r="D48" s="77"/>
      <c r="E48" s="84"/>
      <c r="F48" s="84"/>
      <c r="G48" s="81">
        <f t="shared" si="12"/>
        <v>3510000.0290634343</v>
      </c>
      <c r="H48" s="81"/>
      <c r="I48" s="81"/>
      <c r="J48" s="81"/>
      <c r="K48" s="85">
        <f t="shared" si="13"/>
        <v>7.6923076923076927E-2</v>
      </c>
      <c r="L48" s="81">
        <f t="shared" si="10"/>
        <v>390000.00322927121</v>
      </c>
      <c r="M48" s="82">
        <f t="shared" si="1"/>
        <v>62951.850521252694</v>
      </c>
      <c r="N48" s="83"/>
      <c r="O48" s="83"/>
      <c r="P48" s="83">
        <f t="shared" si="5"/>
        <v>4387.5000363292929</v>
      </c>
      <c r="Q48" s="49">
        <f t="shared" si="6"/>
        <v>457339.35378685314</v>
      </c>
      <c r="R48" s="50">
        <f t="shared" si="7"/>
        <v>12446.490513309207</v>
      </c>
    </row>
    <row r="49" spans="1:18" ht="27" customHeight="1" x14ac:dyDescent="0.25">
      <c r="A49" s="76">
        <f>A47+1</f>
        <v>2040</v>
      </c>
      <c r="B49" s="77">
        <f t="shared" si="8"/>
        <v>51150</v>
      </c>
      <c r="C49" s="77">
        <v>51332</v>
      </c>
      <c r="D49" s="77"/>
      <c r="E49" s="84"/>
      <c r="F49" s="84"/>
      <c r="G49" s="81">
        <f t="shared" si="12"/>
        <v>3120000.0258341632</v>
      </c>
      <c r="H49" s="81"/>
      <c r="I49" s="81"/>
      <c r="J49" s="81"/>
      <c r="K49" s="85">
        <f t="shared" si="13"/>
        <v>7.6923076923076927E-2</v>
      </c>
      <c r="L49" s="81">
        <f t="shared" si="10"/>
        <v>390000.00322927121</v>
      </c>
      <c r="M49" s="82">
        <f t="shared" si="1"/>
        <v>55957.200463335721</v>
      </c>
      <c r="N49" s="83"/>
      <c r="O49" s="83"/>
      <c r="P49" s="83">
        <f t="shared" si="5"/>
        <v>3900.000032292704</v>
      </c>
      <c r="Q49" s="49">
        <f t="shared" si="6"/>
        <v>449857.20372489962</v>
      </c>
      <c r="R49" s="50">
        <f t="shared" si="7"/>
        <v>12242.863799373143</v>
      </c>
    </row>
    <row r="50" spans="1:18" ht="27" customHeight="1" x14ac:dyDescent="0.25">
      <c r="A50" s="76"/>
      <c r="B50" s="77">
        <f t="shared" si="8"/>
        <v>51332</v>
      </c>
      <c r="C50" s="77">
        <v>51516</v>
      </c>
      <c r="D50" s="77"/>
      <c r="E50" s="84"/>
      <c r="F50" s="84"/>
      <c r="G50" s="81">
        <f t="shared" si="12"/>
        <v>2730000.022604892</v>
      </c>
      <c r="H50" s="81"/>
      <c r="I50" s="81"/>
      <c r="J50" s="81"/>
      <c r="K50" s="85">
        <f t="shared" si="13"/>
        <v>7.6923076923076927E-2</v>
      </c>
      <c r="L50" s="81">
        <f t="shared" si="10"/>
        <v>390000.00322927121</v>
      </c>
      <c r="M50" s="82">
        <f t="shared" si="1"/>
        <v>48962.55040541874</v>
      </c>
      <c r="N50" s="83"/>
      <c r="O50" s="83"/>
      <c r="P50" s="83">
        <f t="shared" si="5"/>
        <v>3412.5000282561155</v>
      </c>
      <c r="Q50" s="49">
        <f t="shared" si="6"/>
        <v>442375.05366294604</v>
      </c>
      <c r="R50" s="50">
        <f t="shared" si="7"/>
        <v>12039.237085437077</v>
      </c>
    </row>
    <row r="51" spans="1:18" ht="27" customHeight="1" x14ac:dyDescent="0.25">
      <c r="A51" s="76">
        <f>A49+1</f>
        <v>2041</v>
      </c>
      <c r="B51" s="77">
        <f t="shared" si="8"/>
        <v>51516</v>
      </c>
      <c r="C51" s="77">
        <v>51697</v>
      </c>
      <c r="D51" s="77"/>
      <c r="E51" s="84"/>
      <c r="F51" s="84"/>
      <c r="G51" s="81">
        <f t="shared" si="12"/>
        <v>2340000.0193756209</v>
      </c>
      <c r="H51" s="81"/>
      <c r="I51" s="81"/>
      <c r="J51" s="81"/>
      <c r="K51" s="85">
        <f t="shared" si="13"/>
        <v>7.6923076923076927E-2</v>
      </c>
      <c r="L51" s="81">
        <f t="shared" si="10"/>
        <v>390000.00322927121</v>
      </c>
      <c r="M51" s="82">
        <f t="shared" si="1"/>
        <v>41967.90034750176</v>
      </c>
      <c r="N51" s="83"/>
      <c r="O51" s="83"/>
      <c r="P51" s="83">
        <f t="shared" si="5"/>
        <v>2925.000024219526</v>
      </c>
      <c r="Q51" s="49">
        <f t="shared" si="6"/>
        <v>434892.90360099246</v>
      </c>
      <c r="R51" s="50">
        <f t="shared" si="7"/>
        <v>11835.610371501009</v>
      </c>
    </row>
    <row r="52" spans="1:18" ht="27" customHeight="1" x14ac:dyDescent="0.25">
      <c r="A52" s="76"/>
      <c r="B52" s="77">
        <f t="shared" si="8"/>
        <v>51697</v>
      </c>
      <c r="C52" s="77">
        <v>51881</v>
      </c>
      <c r="D52" s="77"/>
      <c r="E52" s="84"/>
      <c r="F52" s="84"/>
      <c r="G52" s="81">
        <f t="shared" si="12"/>
        <v>1950000.0161463497</v>
      </c>
      <c r="H52" s="81"/>
      <c r="I52" s="81"/>
      <c r="J52" s="81"/>
      <c r="K52" s="85">
        <f t="shared" si="13"/>
        <v>7.6923076923076927E-2</v>
      </c>
      <c r="L52" s="81">
        <f t="shared" si="10"/>
        <v>390000.00322927121</v>
      </c>
      <c r="M52" s="82">
        <f t="shared" si="1"/>
        <v>34973.250289584779</v>
      </c>
      <c r="N52" s="83"/>
      <c r="O52" s="83"/>
      <c r="P52" s="83">
        <f t="shared" si="5"/>
        <v>2437.5000201829371</v>
      </c>
      <c r="Q52" s="49">
        <f t="shared" si="6"/>
        <v>427410.75353903894</v>
      </c>
      <c r="R52" s="50">
        <f t="shared" si="7"/>
        <v>11631.983657564946</v>
      </c>
    </row>
    <row r="53" spans="1:18" ht="27" customHeight="1" x14ac:dyDescent="0.25">
      <c r="A53" s="76">
        <f>A51+1</f>
        <v>2042</v>
      </c>
      <c r="B53" s="77">
        <f t="shared" si="8"/>
        <v>51881</v>
      </c>
      <c r="C53" s="77">
        <v>52062</v>
      </c>
      <c r="D53" s="77"/>
      <c r="E53" s="84"/>
      <c r="F53" s="84"/>
      <c r="G53" s="81">
        <f t="shared" si="12"/>
        <v>1560000.0129170786</v>
      </c>
      <c r="H53" s="81"/>
      <c r="I53" s="81"/>
      <c r="J53" s="81"/>
      <c r="K53" s="85">
        <f t="shared" si="13"/>
        <v>7.6923076923076927E-2</v>
      </c>
      <c r="L53" s="81">
        <f t="shared" si="10"/>
        <v>390000.00322927121</v>
      </c>
      <c r="M53" s="82">
        <f t="shared" si="1"/>
        <v>27978.600231667802</v>
      </c>
      <c r="N53" s="83"/>
      <c r="O53" s="83"/>
      <c r="P53" s="83">
        <f t="shared" si="5"/>
        <v>1950.0000161463483</v>
      </c>
      <c r="Q53" s="49">
        <f t="shared" si="6"/>
        <v>419928.60347708536</v>
      </c>
      <c r="R53" s="50">
        <f t="shared" si="7"/>
        <v>11428.356943628878</v>
      </c>
    </row>
    <row r="54" spans="1:18" ht="27" customHeight="1" x14ac:dyDescent="0.25">
      <c r="A54" s="76"/>
      <c r="B54" s="77">
        <f t="shared" si="8"/>
        <v>52062</v>
      </c>
      <c r="C54" s="77">
        <v>52246</v>
      </c>
      <c r="D54" s="77"/>
      <c r="E54" s="84"/>
      <c r="F54" s="84"/>
      <c r="G54" s="81">
        <f t="shared" si="12"/>
        <v>1170000.0096878074</v>
      </c>
      <c r="H54" s="81"/>
      <c r="I54" s="81"/>
      <c r="J54" s="81"/>
      <c r="K54" s="85">
        <f t="shared" si="13"/>
        <v>7.6923076923076927E-2</v>
      </c>
      <c r="L54" s="81">
        <f t="shared" si="10"/>
        <v>390000.00322927121</v>
      </c>
      <c r="M54" s="82">
        <f t="shared" si="1"/>
        <v>20983.950173750825</v>
      </c>
      <c r="N54" s="83"/>
      <c r="O54" s="83"/>
      <c r="P54" s="83">
        <f t="shared" si="5"/>
        <v>1462.5000121097594</v>
      </c>
      <c r="Q54" s="49">
        <f t="shared" si="6"/>
        <v>412446.45341513178</v>
      </c>
      <c r="R54" s="50">
        <f t="shared" si="7"/>
        <v>11224.730229692812</v>
      </c>
    </row>
    <row r="55" spans="1:18" ht="27" customHeight="1" x14ac:dyDescent="0.25">
      <c r="A55" s="76">
        <f>A53+1</f>
        <v>2043</v>
      </c>
      <c r="B55" s="77">
        <f t="shared" si="8"/>
        <v>52246</v>
      </c>
      <c r="C55" s="77">
        <v>52427</v>
      </c>
      <c r="D55" s="77"/>
      <c r="E55" s="84"/>
      <c r="F55" s="84"/>
      <c r="G55" s="81">
        <f t="shared" si="12"/>
        <v>780000.00645853626</v>
      </c>
      <c r="H55" s="81"/>
      <c r="I55" s="81"/>
      <c r="J55" s="81"/>
      <c r="K55" s="85">
        <f t="shared" si="13"/>
        <v>7.6923076923076927E-2</v>
      </c>
      <c r="L55" s="81">
        <f t="shared" si="10"/>
        <v>390000.00322927121</v>
      </c>
      <c r="M55" s="82">
        <f t="shared" si="1"/>
        <v>13989.300115833848</v>
      </c>
      <c r="N55" s="83"/>
      <c r="O55" s="83"/>
      <c r="P55" s="83">
        <f t="shared" si="5"/>
        <v>975.00000807317031</v>
      </c>
      <c r="Q55" s="49">
        <f t="shared" si="6"/>
        <v>404964.30335317826</v>
      </c>
      <c r="R55" s="50">
        <f>Q55*$G$8/1000000</f>
        <v>11021.103515756746</v>
      </c>
    </row>
    <row r="56" spans="1:18" ht="27" customHeight="1" x14ac:dyDescent="0.25">
      <c r="A56" s="76"/>
      <c r="B56" s="77">
        <f t="shared" si="8"/>
        <v>52427</v>
      </c>
      <c r="C56" s="77">
        <v>52611</v>
      </c>
      <c r="D56" s="77"/>
      <c r="E56" s="84"/>
      <c r="F56" s="84"/>
      <c r="G56" s="81">
        <f t="shared" si="12"/>
        <v>390000.00322926504</v>
      </c>
      <c r="H56" s="81"/>
      <c r="I56" s="81"/>
      <c r="J56" s="81"/>
      <c r="K56" s="85">
        <f t="shared" si="13"/>
        <v>7.6923076923076927E-2</v>
      </c>
      <c r="L56" s="81">
        <f t="shared" si="10"/>
        <v>390000.00322927121</v>
      </c>
      <c r="M56" s="82">
        <f t="shared" si="1"/>
        <v>6994.6500579168687</v>
      </c>
      <c r="N56" s="83"/>
      <c r="O56" s="83"/>
      <c r="P56" s="83">
        <f t="shared" si="5"/>
        <v>487.50000403658123</v>
      </c>
      <c r="Q56" s="49">
        <f t="shared" si="6"/>
        <v>397482.15329122468</v>
      </c>
      <c r="R56" s="50">
        <f t="shared" si="7"/>
        <v>10817.47680182068</v>
      </c>
    </row>
    <row r="57" spans="1:18" ht="34.5" hidden="1" customHeight="1" x14ac:dyDescent="0.25">
      <c r="A57" s="54" t="s">
        <v>19</v>
      </c>
      <c r="B57" s="70"/>
      <c r="C57" s="55"/>
      <c r="D57" s="86"/>
      <c r="E57" s="87">
        <f>SUM(E17:E56)</f>
        <v>10140000.083961051</v>
      </c>
      <c r="F57" s="87">
        <f>SUM(F17:F56)</f>
        <v>23660000.195909083</v>
      </c>
      <c r="G57" s="72"/>
      <c r="H57" s="72"/>
      <c r="I57" s="72"/>
      <c r="J57" s="72"/>
      <c r="K57" s="72"/>
      <c r="L57" s="87">
        <f>SUM(L17:L56)</f>
        <v>10140000.083961057</v>
      </c>
      <c r="M57" s="72">
        <f>SUM(M18:M56)</f>
        <v>4164150.1524831802</v>
      </c>
      <c r="N57" s="72">
        <f t="shared" ref="N57:R57" si="14">SUM(N18:N56)</f>
        <v>213091.07418947903</v>
      </c>
      <c r="O57" s="72">
        <f t="shared" si="14"/>
        <v>135200</v>
      </c>
      <c r="P57" s="72">
        <f t="shared" si="14"/>
        <v>290225.12911089917</v>
      </c>
      <c r="Q57" s="1">
        <f t="shared" si="14"/>
        <v>14942666.439744608</v>
      </c>
      <c r="R57" s="1">
        <f t="shared" si="14"/>
        <v>406664.66715764959</v>
      </c>
    </row>
    <row r="58" spans="1:18" ht="18.75" x14ac:dyDescent="0.25">
      <c r="A58" s="30"/>
      <c r="B58" s="88"/>
      <c r="C58" s="88"/>
      <c r="D58" s="88"/>
      <c r="E58" s="30"/>
      <c r="F58" s="30"/>
      <c r="G58" s="30"/>
      <c r="H58" s="30"/>
      <c r="I58" s="30"/>
      <c r="J58" s="30"/>
      <c r="K58" s="30"/>
      <c r="L58" s="30"/>
      <c r="M58" s="30"/>
      <c r="N58" s="31"/>
      <c r="O58" s="31"/>
      <c r="P58" s="30"/>
    </row>
    <row r="59" spans="1:18" s="30" customFormat="1" ht="19.5" x14ac:dyDescent="0.25">
      <c r="A59" s="32" t="s">
        <v>47</v>
      </c>
      <c r="B59" s="32"/>
      <c r="C59" s="26" t="s">
        <v>48</v>
      </c>
      <c r="D59" s="26"/>
      <c r="E59" s="27">
        <f>+G8</f>
        <v>27215</v>
      </c>
      <c r="F59" s="28">
        <v>27215</v>
      </c>
      <c r="G59" s="29" t="s">
        <v>9</v>
      </c>
      <c r="N59" s="31"/>
      <c r="O59" s="31"/>
    </row>
  </sheetData>
  <mergeCells count="43">
    <mergeCell ref="H12:I12"/>
    <mergeCell ref="L12:L13"/>
    <mergeCell ref="K12:K14"/>
    <mergeCell ref="A39:A40"/>
    <mergeCell ref="A41:A42"/>
    <mergeCell ref="A23:A24"/>
    <mergeCell ref="A25:A26"/>
    <mergeCell ref="A27:A28"/>
    <mergeCell ref="B14:C14"/>
    <mergeCell ref="A12:A14"/>
    <mergeCell ref="A16:C16"/>
    <mergeCell ref="A43:A44"/>
    <mergeCell ref="A1:R1"/>
    <mergeCell ref="A2:R2"/>
    <mergeCell ref="O7:R7"/>
    <mergeCell ref="I10:K10"/>
    <mergeCell ref="O11:R11"/>
    <mergeCell ref="M12:M13"/>
    <mergeCell ref="N12:N13"/>
    <mergeCell ref="O12:O13"/>
    <mergeCell ref="P12:P13"/>
    <mergeCell ref="Q12:R13"/>
    <mergeCell ref="A15:C15"/>
    <mergeCell ref="B12:C13"/>
    <mergeCell ref="D12:E12"/>
    <mergeCell ref="G12:G13"/>
    <mergeCell ref="A21:A22"/>
    <mergeCell ref="A59:B59"/>
    <mergeCell ref="A31:A32"/>
    <mergeCell ref="A19:A20"/>
    <mergeCell ref="C10:E10"/>
    <mergeCell ref="A17:A18"/>
    <mergeCell ref="A29:A30"/>
    <mergeCell ref="A57:C57"/>
    <mergeCell ref="A45:A46"/>
    <mergeCell ref="A47:A48"/>
    <mergeCell ref="A49:A50"/>
    <mergeCell ref="A51:A52"/>
    <mergeCell ref="A53:A54"/>
    <mergeCell ref="A55:A56"/>
    <mergeCell ref="A33:A34"/>
    <mergeCell ref="A35:A36"/>
    <mergeCell ref="A37:A38"/>
  </mergeCells>
  <pageMargins left="0.45" right="0.2" top="0.5" bottom="0.5" header="0.3" footer="0.3"/>
  <pageSetup paperSize="9" scale="60" orientation="landscape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 trả nợ</vt:lpstr>
      <vt:lpstr>'PA trả nợ'!Print_Area</vt:lpstr>
      <vt:lpstr>'PA trả nợ'!Print_Titles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2023-10-23T08:20:22Z</dcterms:modified>
</cp:coreProperties>
</file>