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COMPUTER\OneDrive\Desktop\NQ kỳ 28_Nhi\NQ kỳ 28_Nhi\"/>
    </mc:Choice>
  </mc:AlternateContent>
  <xr:revisionPtr revIDLastSave="0" documentId="8_{4EF16792-B8BC-463D-87A9-991AC2A9ACD1}" xr6:coauthVersionLast="46" xr6:coauthVersionMax="46" xr10:uidLastSave="{00000000-0000-0000-0000-000000000000}"/>
  <bookViews>
    <workbookView xWindow="-120" yWindow="-120" windowWidth="29040" windowHeight="15840" tabRatio="563" activeTab="16"/>
  </bookViews>
  <sheets>
    <sheet name="list" sheetId="73" r:id="rId1"/>
    <sheet name="48" sheetId="1" r:id="rId2"/>
    <sheet name="50" sheetId="3" r:id="rId3"/>
    <sheet name="51" sheetId="4" r:id="rId4"/>
    <sheet name="52" sheetId="5" r:id="rId5"/>
    <sheet name="53" sheetId="6" r:id="rId6"/>
    <sheet name="54" sheetId="58" r:id="rId7"/>
    <sheet name="55" sheetId="59" r:id="rId8"/>
    <sheet name="56" sheetId="50" r:id="rId9"/>
    <sheet name="57" sheetId="107" r:id="rId10"/>
    <sheet name="58" sheetId="10" r:id="rId11"/>
    <sheet name="59" sheetId="11" r:id="rId12"/>
    <sheet name="60" sheetId="31" r:id="rId13"/>
    <sheet name="61" sheetId="29" r:id="rId14"/>
    <sheet name="B64 - thu dich vụ" sheetId="72" r:id="rId15"/>
    <sheet name="vay" sheetId="75" r:id="rId16"/>
    <sheet name="Vay- chi tiết" sheetId="108" r:id="rId17"/>
    <sheet name="bieu 55" sheetId="8" state="hidden" r:id="rId18"/>
    <sheet name="Sheet3" sheetId="24" state="hidden" r:id="rId19"/>
    <sheet name="Sheet6" sheetId="27" state="hidden" r:id="rId20"/>
    <sheet name="Sheet2" sheetId="23" state="hidden" r:id="rId21"/>
    <sheet name="CTMT huyen" sheetId="22" state="hidden" r:id="rId22"/>
    <sheet name="Bieu 60" sheetId="13" state="hidden" r:id="rId23"/>
    <sheet name="BS huyen" sheetId="21" state="hidden" r:id="rId24"/>
    <sheet name="Sheet4" sheetId="25" state="hidden" r:id="rId25"/>
    <sheet name="Bieu 63" sheetId="16" state="hidden" r:id="rId26"/>
    <sheet name="Bieu 64" sheetId="17" state="hidden" r:id="rId27"/>
  </sheets>
  <externalReferences>
    <externalReference r:id="rId28"/>
    <externalReference r:id="rId29"/>
    <externalReference r:id="rId30"/>
    <externalReference r:id="rId31"/>
  </externalReferences>
  <definedNames>
    <definedName name="_xlnm._FilterDatabase" localSheetId="5" hidden="1">'53'!$A$59:$N$70</definedName>
    <definedName name="_xlnm._FilterDatabase" localSheetId="6" hidden="1">'54'!$A$14:$X$530</definedName>
    <definedName name="_xlnm._FilterDatabase" localSheetId="7" hidden="1">'55'!$A$10:$AB$198</definedName>
    <definedName name="_xlnm._FilterDatabase" localSheetId="8" hidden="1">'56'!$A$12:$Y$340</definedName>
    <definedName name="_xlnm._FilterDatabase" localSheetId="9" hidden="1">'57'!$A$14:$Q$476</definedName>
    <definedName name="_xlnm._FilterDatabase" localSheetId="13" hidden="1">'61'!$A$19:$FE$79</definedName>
    <definedName name="chuong_phuluc_48" localSheetId="1">'48'!$F$1</definedName>
    <definedName name="chuong_phuluc_48_name" localSheetId="1">'48'!$A$2</definedName>
    <definedName name="chuong_phuluc_50" localSheetId="2">'50'!$G$1</definedName>
    <definedName name="chuong_phuluc_50_name" localSheetId="2">'50'!$A$2</definedName>
    <definedName name="chuong_phuluc_51" localSheetId="3">'51'!#REF!</definedName>
    <definedName name="chuong_phuluc_51_name" localSheetId="3">'51'!$A$3</definedName>
    <definedName name="chuong_phuluc_52" localSheetId="4">'52'!$D$1</definedName>
    <definedName name="chuong_phuluc_52_name" localSheetId="4">'52'!$A$2</definedName>
    <definedName name="chuong_phuluc_53" localSheetId="5">'53'!$J$1</definedName>
    <definedName name="chuong_phuluc_53_name" localSheetId="5">'53'!$A$2</definedName>
    <definedName name="chuong_phuluc_55" localSheetId="17">'bieu 55'!$R$1</definedName>
    <definedName name="chuong_phuluc_55_name" localSheetId="17">'bieu 55'!$A$2</definedName>
    <definedName name="chuong_phuluc_58" localSheetId="10">'58'!$Y$1</definedName>
    <definedName name="chuong_phuluc_58_name" localSheetId="10">'58'!$A$2</definedName>
    <definedName name="chuong_phuluc_59" localSheetId="11">'59'!$AE$1</definedName>
    <definedName name="chuong_phuluc_59_name" localSheetId="11">'59'!$A$2</definedName>
    <definedName name="chuong_phuluc_60" localSheetId="22">'Bieu 60'!$J$1</definedName>
    <definedName name="chuong_phuluc_60_name" localSheetId="22">'Bieu 60'!$A$2</definedName>
    <definedName name="chuong_phuluc_63" localSheetId="25">'Bieu 63'!$K$1</definedName>
    <definedName name="chuong_phuluc_63_name" localSheetId="25">'Bieu 63'!$A$2</definedName>
    <definedName name="chuong_phuluc_64" localSheetId="26">'Bieu 64'!$E$1</definedName>
    <definedName name="chuong_phuluc_64_name" localSheetId="26">'Bieu 64'!$A$2</definedName>
    <definedName name="_xlnm.Print_Area" localSheetId="8">'56'!$A$1:$X$387</definedName>
    <definedName name="_xlnm.Print_Area" localSheetId="13">'61'!$A$1:$BE$79</definedName>
    <definedName name="_xlnm.Print_Titles" localSheetId="1">'48'!$6:$7</definedName>
    <definedName name="_xlnm.Print_Titles" localSheetId="2">'50'!$7:$9</definedName>
    <definedName name="_xlnm.Print_Titles" localSheetId="3">'51'!$8:$9</definedName>
    <definedName name="_xlnm.Print_Titles" localSheetId="4">'52'!$6:$7</definedName>
    <definedName name="_xlnm.Print_Titles" localSheetId="5">'53'!$7:$9</definedName>
    <definedName name="_xlnm.Print_Titles" localSheetId="6">'54'!$5:$7</definedName>
    <definedName name="_xlnm.Print_Titles" localSheetId="7">'55'!$6:$8</definedName>
    <definedName name="_xlnm.Print_Titles" localSheetId="8">'56'!$7:$9</definedName>
    <definedName name="_xlnm.Print_Titles" localSheetId="9">'57'!$6:$9</definedName>
    <definedName name="_xlnm.Print_Titles" localSheetId="13">'61'!$A:$B,'61'!$11:$15</definedName>
    <definedName name="_xlnm.Print_Titles" localSheetId="14">'B64 - thu dich vụ'!$A:$B,'B64 - thu dich vụ'!$8:$8</definedName>
    <definedName name="_xlnm.Print_Titles" localSheetId="17">'bieu 55'!$5:$6</definedName>
    <definedName name="_xlnm.Print_Titles" localSheetId="26">'Bieu 64'!$6:$7</definedName>
  </definedNames>
  <calcPr calcId="191029" fullCalcOnLoad="1"/>
</workbook>
</file>

<file path=xl/calcChain.xml><?xml version="1.0" encoding="utf-8"?>
<calcChain xmlns="http://schemas.openxmlformats.org/spreadsheetml/2006/main">
  <c r="AB15" i="11" l="1"/>
  <c r="AD16" i="11"/>
  <c r="M14" i="11"/>
  <c r="U14" i="11"/>
  <c r="AB16" i="11"/>
  <c r="AB17" i="11"/>
  <c r="AB18" i="11"/>
  <c r="AB20" i="11"/>
  <c r="AB21" i="11"/>
  <c r="AB22" i="11"/>
  <c r="S17" i="11"/>
  <c r="V18" i="11"/>
  <c r="U16" i="11"/>
  <c r="V14" i="11"/>
  <c r="N14" i="11" s="1"/>
  <c r="X13" i="11"/>
  <c r="T13" i="11"/>
  <c r="S20" i="11"/>
  <c r="S23" i="11"/>
  <c r="M15" i="11"/>
  <c r="M16" i="11"/>
  <c r="M17" i="11"/>
  <c r="M18" i="11"/>
  <c r="M19" i="11"/>
  <c r="M20" i="11"/>
  <c r="M21" i="11"/>
  <c r="M22" i="11"/>
  <c r="M23" i="11"/>
  <c r="G14" i="11"/>
  <c r="G15" i="11"/>
  <c r="G16" i="11"/>
  <c r="G17" i="11"/>
  <c r="G18" i="11"/>
  <c r="G19" i="11"/>
  <c r="G20" i="11"/>
  <c r="G21" i="11"/>
  <c r="G22" i="11"/>
  <c r="G23" i="11"/>
  <c r="C10" i="17"/>
  <c r="D10" i="17"/>
  <c r="D9" i="17" s="1"/>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C44" i="17"/>
  <c r="D44" i="17"/>
  <c r="E44" i="17" s="1"/>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C92" i="17"/>
  <c r="D92" i="17"/>
  <c r="E92" i="17"/>
  <c r="E93" i="17"/>
  <c r="E94" i="17"/>
  <c r="E95" i="17"/>
  <c r="E96" i="17"/>
  <c r="E97" i="17"/>
  <c r="E98" i="17"/>
  <c r="E99" i="17"/>
  <c r="E100" i="17"/>
  <c r="E101" i="17"/>
  <c r="E102" i="17"/>
  <c r="E103" i="17"/>
  <c r="E104" i="17"/>
  <c r="E105" i="17"/>
  <c r="E106" i="17"/>
  <c r="E107" i="17"/>
  <c r="G9" i="16"/>
  <c r="K9" i="16"/>
  <c r="L9" i="16"/>
  <c r="L28" i="16" s="1"/>
  <c r="G10" i="16"/>
  <c r="G11" i="16"/>
  <c r="K11" i="16"/>
  <c r="L11" i="16"/>
  <c r="G12" i="16"/>
  <c r="H12" i="16"/>
  <c r="H28" i="16" s="1"/>
  <c r="L12" i="16"/>
  <c r="G13" i="16"/>
  <c r="K13" i="16"/>
  <c r="L13" i="16"/>
  <c r="G14" i="16"/>
  <c r="K14" i="16"/>
  <c r="L14" i="16"/>
  <c r="G15" i="16"/>
  <c r="K15" i="16"/>
  <c r="L15" i="16"/>
  <c r="G16" i="16"/>
  <c r="K16" i="16"/>
  <c r="L16" i="16"/>
  <c r="G17" i="16"/>
  <c r="K17" i="16"/>
  <c r="L17" i="16"/>
  <c r="G18" i="16"/>
  <c r="G28" i="16" s="1"/>
  <c r="K18" i="16"/>
  <c r="L18" i="16"/>
  <c r="G19" i="16"/>
  <c r="K19" i="16"/>
  <c r="L19" i="16"/>
  <c r="G20" i="16"/>
  <c r="K20" i="16"/>
  <c r="L20" i="16"/>
  <c r="G21" i="16"/>
  <c r="K21" i="16"/>
  <c r="L21" i="16"/>
  <c r="G22" i="16"/>
  <c r="K22" i="16"/>
  <c r="L22" i="16"/>
  <c r="G23" i="16"/>
  <c r="K23" i="16"/>
  <c r="L23" i="16"/>
  <c r="G24" i="16"/>
  <c r="K24" i="16"/>
  <c r="L24" i="16"/>
  <c r="G25" i="16"/>
  <c r="H25" i="16"/>
  <c r="K25" i="16" s="1"/>
  <c r="L25" i="16"/>
  <c r="G26" i="16"/>
  <c r="K26" i="16"/>
  <c r="L26" i="16"/>
  <c r="G27" i="16"/>
  <c r="K27" i="16"/>
  <c r="L27" i="16"/>
  <c r="C28" i="16"/>
  <c r="D28" i="16"/>
  <c r="E28" i="16"/>
  <c r="F28" i="16"/>
  <c r="I28" i="16"/>
  <c r="J28" i="16"/>
  <c r="D6" i="25"/>
  <c r="E6" i="25"/>
  <c r="G6" i="25"/>
  <c r="I6" i="25"/>
  <c r="H7" i="25"/>
  <c r="J7" i="25"/>
  <c r="H10" i="25"/>
  <c r="F14" i="25"/>
  <c r="H14" i="25" s="1"/>
  <c r="F15" i="25"/>
  <c r="F18" i="25"/>
  <c r="D20" i="25"/>
  <c r="E20" i="25"/>
  <c r="F20" i="25"/>
  <c r="E21" i="25"/>
  <c r="H21" i="25"/>
  <c r="J21" i="25" s="1"/>
  <c r="M6" i="21"/>
  <c r="E7" i="21"/>
  <c r="F7" i="21"/>
  <c r="G7" i="21"/>
  <c r="G6" i="21" s="1"/>
  <c r="H7" i="21"/>
  <c r="I7" i="21"/>
  <c r="I6" i="21" s="1"/>
  <c r="J7" i="21"/>
  <c r="J6" i="21" s="1"/>
  <c r="K7" i="21"/>
  <c r="L7" i="21"/>
  <c r="M7" i="21"/>
  <c r="N7" i="21"/>
  <c r="O7" i="21"/>
  <c r="O6" i="21" s="1"/>
  <c r="E8" i="21"/>
  <c r="F9" i="21"/>
  <c r="G9" i="21"/>
  <c r="I9" i="21"/>
  <c r="J9" i="21"/>
  <c r="K9" i="21"/>
  <c r="K6" i="21" s="1"/>
  <c r="M9" i="21"/>
  <c r="N9" i="21"/>
  <c r="O9" i="21"/>
  <c r="F10" i="21"/>
  <c r="I10" i="21"/>
  <c r="K10" i="21"/>
  <c r="V14" i="23" s="1"/>
  <c r="F11" i="21"/>
  <c r="F19" i="21" s="1"/>
  <c r="G11" i="21"/>
  <c r="G19" i="21" s="1"/>
  <c r="H11" i="21"/>
  <c r="I11" i="21"/>
  <c r="J11" i="21"/>
  <c r="K11" i="21"/>
  <c r="K14" i="21" s="1"/>
  <c r="AF14" i="23" s="1"/>
  <c r="L11" i="21"/>
  <c r="M11" i="21"/>
  <c r="N11" i="21"/>
  <c r="N19" i="21" s="1"/>
  <c r="O11" i="21"/>
  <c r="O19" i="21" s="1"/>
  <c r="F12" i="21"/>
  <c r="G12" i="21"/>
  <c r="H12" i="21"/>
  <c r="I12" i="21"/>
  <c r="J12" i="21"/>
  <c r="J19" i="21" s="1"/>
  <c r="K12" i="21"/>
  <c r="L12" i="21"/>
  <c r="L14" i="21" s="1"/>
  <c r="AF19" i="23" s="1"/>
  <c r="M12" i="21"/>
  <c r="P17" i="23" s="1"/>
  <c r="N12" i="21"/>
  <c r="O12" i="21"/>
  <c r="E13" i="21"/>
  <c r="G14" i="21"/>
  <c r="I14" i="21"/>
  <c r="O14" i="21"/>
  <c r="F15" i="21"/>
  <c r="G15" i="21"/>
  <c r="G17" i="21" s="1"/>
  <c r="AD12" i="23" s="1"/>
  <c r="H15" i="21"/>
  <c r="I15" i="21"/>
  <c r="J15" i="21"/>
  <c r="J10" i="21" s="1"/>
  <c r="K15" i="21"/>
  <c r="L15" i="21"/>
  <c r="L17" i="21" s="1"/>
  <c r="M15" i="21"/>
  <c r="M17" i="21" s="1"/>
  <c r="O15" i="21"/>
  <c r="O17" i="21" s="1"/>
  <c r="AD20" i="23" s="1"/>
  <c r="E16" i="21"/>
  <c r="F17" i="21"/>
  <c r="H17" i="21"/>
  <c r="AD15" i="23" s="1"/>
  <c r="I17" i="21"/>
  <c r="K17" i="21"/>
  <c r="AD14" i="23" s="1"/>
  <c r="F18" i="21"/>
  <c r="G18" i="21"/>
  <c r="H18" i="21"/>
  <c r="E18" i="21" s="1"/>
  <c r="I18" i="21"/>
  <c r="J18" i="21"/>
  <c r="K18" i="21"/>
  <c r="L18" i="21"/>
  <c r="M18" i="21"/>
  <c r="N18" i="21"/>
  <c r="O18" i="21"/>
  <c r="I19" i="21"/>
  <c r="L19" i="21"/>
  <c r="M19" i="21"/>
  <c r="E20" i="21"/>
  <c r="E21" i="21"/>
  <c r="A22" i="21"/>
  <c r="A23" i="21" s="1"/>
  <c r="A24" i="21" s="1"/>
  <c r="A25" i="21" s="1"/>
  <c r="A26" i="21" s="1"/>
  <c r="A28" i="21" s="1"/>
  <c r="A29" i="21" s="1"/>
  <c r="E22" i="21"/>
  <c r="E23" i="21"/>
  <c r="H24" i="21"/>
  <c r="E25" i="21"/>
  <c r="E26" i="21"/>
  <c r="E27" i="21"/>
  <c r="E28" i="21"/>
  <c r="E29" i="21"/>
  <c r="A30" i="21"/>
  <c r="A31" i="21" s="1"/>
  <c r="A32" i="21" s="1"/>
  <c r="A33" i="21" s="1"/>
  <c r="A34" i="21" s="1"/>
  <c r="A35" i="21" s="1"/>
  <c r="A36" i="21" s="1"/>
  <c r="A37" i="21" s="1"/>
  <c r="A42" i="21" s="1"/>
  <c r="A43" i="21" s="1"/>
  <c r="A44" i="21" s="1"/>
  <c r="A45" i="21" s="1"/>
  <c r="A46" i="21" s="1"/>
  <c r="A47" i="21" s="1"/>
  <c r="A48" i="21" s="1"/>
  <c r="A49" i="21" s="1"/>
  <c r="A50" i="21" s="1"/>
  <c r="A51" i="21" s="1"/>
  <c r="A52" i="21" s="1"/>
  <c r="A53" i="21" s="1"/>
  <c r="A54" i="21" s="1"/>
  <c r="A55" i="21" s="1"/>
  <c r="A56" i="21" s="1"/>
  <c r="E30" i="21"/>
  <c r="E31" i="21"/>
  <c r="E32" i="21"/>
  <c r="E33" i="21"/>
  <c r="E34" i="21"/>
  <c r="E35" i="21"/>
  <c r="E36" i="21"/>
  <c r="E37" i="21"/>
  <c r="E38" i="21"/>
  <c r="E39" i="21"/>
  <c r="E40" i="21"/>
  <c r="E41" i="21"/>
  <c r="E42" i="21"/>
  <c r="E43" i="21"/>
  <c r="E44" i="21"/>
  <c r="E45" i="21"/>
  <c r="E46" i="21"/>
  <c r="E47" i="21"/>
  <c r="E48" i="21"/>
  <c r="E49" i="21"/>
  <c r="E50" i="21"/>
  <c r="N51" i="21"/>
  <c r="E52" i="21"/>
  <c r="E53" i="21"/>
  <c r="E54" i="21"/>
  <c r="E55" i="21"/>
  <c r="E56" i="21"/>
  <c r="E57" i="21"/>
  <c r="E58" i="21"/>
  <c r="E59" i="21"/>
  <c r="E60" i="21"/>
  <c r="A61" i="21"/>
  <c r="E61" i="21"/>
  <c r="A62" i="21"/>
  <c r="E62" i="21"/>
  <c r="A63" i="21"/>
  <c r="A64" i="21" s="1"/>
  <c r="A65" i="21" s="1"/>
  <c r="A66" i="21" s="1"/>
  <c r="A67" i="21" s="1"/>
  <c r="A68" i="21" s="1"/>
  <c r="A69" i="21" s="1"/>
  <c r="A70" i="21" s="1"/>
  <c r="A71" i="21" s="1"/>
  <c r="A72" i="21" s="1"/>
  <c r="A73" i="21" s="1"/>
  <c r="A74" i="21" s="1"/>
  <c r="A75" i="21" s="1"/>
  <c r="A76" i="21" s="1"/>
  <c r="A77" i="21" s="1"/>
  <c r="A78" i="21" s="1"/>
  <c r="A80" i="21" s="1"/>
  <c r="E63" i="21"/>
  <c r="E64" i="21"/>
  <c r="E65" i="21"/>
  <c r="E66" i="21"/>
  <c r="E67" i="21"/>
  <c r="E68" i="21"/>
  <c r="E69" i="21"/>
  <c r="E70" i="21"/>
  <c r="E71" i="21"/>
  <c r="E72" i="21"/>
  <c r="E73" i="21"/>
  <c r="E74" i="21"/>
  <c r="E75" i="21"/>
  <c r="E76" i="21"/>
  <c r="E77" i="21"/>
  <c r="E78" i="21"/>
  <c r="E79" i="21"/>
  <c r="E80" i="21"/>
  <c r="E81" i="21"/>
  <c r="E82" i="21"/>
  <c r="E83" i="21"/>
  <c r="A84" i="21"/>
  <c r="A85" i="21" s="1"/>
  <c r="A86" i="21" s="1"/>
  <c r="H84" i="21"/>
  <c r="E84" i="21" s="1"/>
  <c r="E85" i="21"/>
  <c r="E86" i="21"/>
  <c r="A87" i="21"/>
  <c r="A88" i="21" s="1"/>
  <c r="A89" i="21" s="1"/>
  <c r="A90" i="21" s="1"/>
  <c r="A91" i="21" s="1"/>
  <c r="A92" i="21" s="1"/>
  <c r="A93" i="21" s="1"/>
  <c r="A94" i="21" s="1"/>
  <c r="A95" i="21" s="1"/>
  <c r="A96" i="21" s="1"/>
  <c r="A97" i="21" s="1"/>
  <c r="A98" i="21" s="1"/>
  <c r="A99" i="21" s="1"/>
  <c r="A100" i="21" s="1"/>
  <c r="A101" i="21" s="1"/>
  <c r="A102" i="21" s="1"/>
  <c r="A103" i="21" s="1"/>
  <c r="A104" i="21" s="1"/>
  <c r="A106" i="21" s="1"/>
  <c r="A107" i="21" s="1"/>
  <c r="A108" i="21" s="1"/>
  <c r="A109" i="21" s="1"/>
  <c r="A110" i="21" s="1"/>
  <c r="A111" i="21" s="1"/>
  <c r="A112" i="21" s="1"/>
  <c r="A113" i="21" s="1"/>
  <c r="A114" i="21" s="1"/>
  <c r="A115" i="21" s="1"/>
  <c r="E87" i="21"/>
  <c r="E88" i="21"/>
  <c r="E89" i="21"/>
  <c r="L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D8" i="13"/>
  <c r="I8" i="13"/>
  <c r="J8" i="13"/>
  <c r="G9" i="13"/>
  <c r="G10" i="13"/>
  <c r="G8" i="13" s="1"/>
  <c r="G11" i="13"/>
  <c r="H11" i="13"/>
  <c r="H8" i="13" s="1"/>
  <c r="G12" i="13"/>
  <c r="G13" i="13"/>
  <c r="D14" i="13"/>
  <c r="G14" i="13"/>
  <c r="D15" i="13"/>
  <c r="G15" i="13"/>
  <c r="D16" i="13"/>
  <c r="G16" i="13"/>
  <c r="G17" i="13"/>
  <c r="G18" i="13"/>
  <c r="C4" i="22"/>
  <c r="C5" i="22"/>
  <c r="C6" i="22"/>
  <c r="E7" i="22"/>
  <c r="C7" i="22" s="1"/>
  <c r="F7" i="22"/>
  <c r="G7" i="22"/>
  <c r="H7" i="22"/>
  <c r="I7" i="22"/>
  <c r="J7" i="22"/>
  <c r="K7" i="22"/>
  <c r="L7" i="22"/>
  <c r="F8" i="22"/>
  <c r="G8" i="22"/>
  <c r="C8" i="22" s="1"/>
  <c r="I8" i="22"/>
  <c r="K8" i="22"/>
  <c r="C9" i="22"/>
  <c r="C15" i="22"/>
  <c r="C16" i="22"/>
  <c r="C17" i="22"/>
  <c r="H18" i="22"/>
  <c r="J18" i="22"/>
  <c r="K19" i="22"/>
  <c r="C19" i="22" s="1"/>
  <c r="C20" i="22"/>
  <c r="B21" i="22"/>
  <c r="D21" i="22"/>
  <c r="E21" i="22"/>
  <c r="F21" i="22"/>
  <c r="G21" i="22"/>
  <c r="I21" i="22"/>
  <c r="J21" i="22"/>
  <c r="L21" i="22"/>
  <c r="M21" i="22"/>
  <c r="B22" i="22"/>
  <c r="B25" i="22"/>
  <c r="B28" i="22"/>
  <c r="C28" i="22" s="1"/>
  <c r="B31" i="22"/>
  <c r="B33" i="22"/>
  <c r="C33" i="22"/>
  <c r="D10" i="23"/>
  <c r="F10" i="23"/>
  <c r="G10" i="23"/>
  <c r="I10" i="23"/>
  <c r="N10" i="23"/>
  <c r="O10" i="23"/>
  <c r="T10" i="23"/>
  <c r="Y10" i="23"/>
  <c r="AA10" i="23"/>
  <c r="AH10" i="23"/>
  <c r="C11" i="23"/>
  <c r="E11" i="23"/>
  <c r="H11" i="23"/>
  <c r="Q11" i="23"/>
  <c r="V11" i="23"/>
  <c r="Z11" i="23"/>
  <c r="X11" i="23" s="1"/>
  <c r="AB11" i="23"/>
  <c r="AC11" i="23"/>
  <c r="AD11" i="23"/>
  <c r="AE11" i="23"/>
  <c r="AF11" i="23"/>
  <c r="AG11" i="23"/>
  <c r="C12" i="23"/>
  <c r="E12" i="23"/>
  <c r="H12" i="23"/>
  <c r="P12" i="23"/>
  <c r="Q12" i="23"/>
  <c r="Z12" i="23"/>
  <c r="AE12" i="23"/>
  <c r="AC12" i="23" s="1"/>
  <c r="R12" i="23" s="1"/>
  <c r="AM12" i="23" s="1"/>
  <c r="AG12" i="23"/>
  <c r="E13" i="23"/>
  <c r="H13" i="23"/>
  <c r="C13" i="23" s="1"/>
  <c r="Q13" i="23"/>
  <c r="S13" i="23"/>
  <c r="S10" i="23" s="1"/>
  <c r="V13" i="23"/>
  <c r="Z13" i="23"/>
  <c r="X13" i="23" s="1"/>
  <c r="AB13" i="23"/>
  <c r="AE13" i="23"/>
  <c r="AC13" i="23" s="1"/>
  <c r="R13" i="23" s="1"/>
  <c r="AM13" i="23" s="1"/>
  <c r="AG13" i="23"/>
  <c r="E14" i="23"/>
  <c r="E10" i="23" s="1"/>
  <c r="H14" i="23"/>
  <c r="P14" i="23"/>
  <c r="Q14" i="23"/>
  <c r="X14" i="23"/>
  <c r="Z14" i="23"/>
  <c r="AB14" i="23"/>
  <c r="AC14" i="23"/>
  <c r="R14" i="23" s="1"/>
  <c r="AM14" i="23" s="1"/>
  <c r="AE14" i="23"/>
  <c r="AG14" i="23"/>
  <c r="C15" i="23"/>
  <c r="E15" i="23"/>
  <c r="H15" i="23"/>
  <c r="P15" i="23"/>
  <c r="Q15" i="23"/>
  <c r="Z15" i="23"/>
  <c r="AB15" i="23"/>
  <c r="X15" i="23" s="1"/>
  <c r="AE15" i="23"/>
  <c r="AC15" i="23" s="1"/>
  <c r="R15" i="23" s="1"/>
  <c r="AM15" i="23" s="1"/>
  <c r="AG15" i="23"/>
  <c r="E16" i="23"/>
  <c r="H16" i="23"/>
  <c r="M16" i="23"/>
  <c r="M10" i="23" s="1"/>
  <c r="P16" i="23"/>
  <c r="Q16" i="23"/>
  <c r="S16" i="23"/>
  <c r="V16" i="23"/>
  <c r="Z16" i="23"/>
  <c r="AB16" i="23"/>
  <c r="X16" i="23" s="1"/>
  <c r="AD16" i="23"/>
  <c r="AE16" i="23"/>
  <c r="AC16" i="23" s="1"/>
  <c r="R16" i="23" s="1"/>
  <c r="AM16" i="23" s="1"/>
  <c r="AF16" i="23"/>
  <c r="AG16" i="23"/>
  <c r="AI16" i="23"/>
  <c r="AI10" i="23" s="1"/>
  <c r="E17" i="23"/>
  <c r="C17" i="23" s="1"/>
  <c r="H17" i="23"/>
  <c r="M17" i="23"/>
  <c r="S17" i="23"/>
  <c r="Z17" i="23"/>
  <c r="X17" i="23" s="1"/>
  <c r="AB17" i="23"/>
  <c r="AD17" i="23"/>
  <c r="AE17" i="23"/>
  <c r="AG17" i="23"/>
  <c r="AC17" i="23" s="1"/>
  <c r="R17" i="23" s="1"/>
  <c r="AM17" i="23" s="1"/>
  <c r="AH17" i="23"/>
  <c r="L25" i="23" s="1"/>
  <c r="C18" i="23"/>
  <c r="E18" i="23"/>
  <c r="H18" i="23"/>
  <c r="Q18" i="23"/>
  <c r="S18" i="23"/>
  <c r="Z18" i="23"/>
  <c r="AB18" i="23"/>
  <c r="AE18" i="23"/>
  <c r="AG18" i="23"/>
  <c r="E19" i="23"/>
  <c r="H19" i="23"/>
  <c r="P19" i="23"/>
  <c r="Q19" i="23"/>
  <c r="Z19" i="23"/>
  <c r="X19" i="23" s="1"/>
  <c r="L19" i="23" s="1"/>
  <c r="AB19" i="23"/>
  <c r="AD19" i="23"/>
  <c r="AE19" i="23"/>
  <c r="AG19" i="23"/>
  <c r="E20" i="23"/>
  <c r="C20" i="23" s="1"/>
  <c r="Q20" i="23"/>
  <c r="X20" i="23"/>
  <c r="W20" i="23" s="1"/>
  <c r="L20" i="23" s="1"/>
  <c r="Z20" i="23"/>
  <c r="AC20" i="23"/>
  <c r="R20" i="23" s="1"/>
  <c r="AM20" i="23" s="1"/>
  <c r="M21" i="23"/>
  <c r="K23" i="23"/>
  <c r="L26" i="23"/>
  <c r="E10" i="27"/>
  <c r="F10" i="27"/>
  <c r="G10" i="27"/>
  <c r="H10" i="27"/>
  <c r="I10" i="27"/>
  <c r="K10" i="27"/>
  <c r="L10" i="27"/>
  <c r="M10" i="27"/>
  <c r="N10" i="27"/>
  <c r="O10" i="27"/>
  <c r="P10" i="27"/>
  <c r="Q10" i="27"/>
  <c r="R10" i="27"/>
  <c r="S10" i="27"/>
  <c r="T10" i="27"/>
  <c r="C11" i="27"/>
  <c r="C10" i="27"/>
  <c r="D11" i="27"/>
  <c r="J11" i="27"/>
  <c r="J10" i="27" s="1"/>
  <c r="C12" i="27"/>
  <c r="D12" i="27"/>
  <c r="E13" i="27"/>
  <c r="F13" i="27"/>
  <c r="G13" i="27"/>
  <c r="H13" i="27"/>
  <c r="I13" i="27"/>
  <c r="K13" i="27"/>
  <c r="L13" i="27"/>
  <c r="M13" i="27"/>
  <c r="N13" i="27"/>
  <c r="O13" i="27"/>
  <c r="P13" i="27"/>
  <c r="Q13" i="27"/>
  <c r="R13" i="27"/>
  <c r="S13" i="27"/>
  <c r="T13" i="27"/>
  <c r="C14" i="27"/>
  <c r="D14" i="27"/>
  <c r="J14" i="27"/>
  <c r="C15" i="27"/>
  <c r="D15" i="27"/>
  <c r="J15" i="27"/>
  <c r="C16" i="27"/>
  <c r="D16" i="27"/>
  <c r="J16" i="27"/>
  <c r="C17" i="27"/>
  <c r="D17" i="27"/>
  <c r="J17" i="27"/>
  <c r="K19" i="27"/>
  <c r="F20" i="27"/>
  <c r="G20" i="27"/>
  <c r="G19" i="27" s="1"/>
  <c r="G18" i="27" s="1"/>
  <c r="H20" i="27"/>
  <c r="I20" i="27"/>
  <c r="I19" i="27" s="1"/>
  <c r="J20" i="27"/>
  <c r="K20" i="27"/>
  <c r="L20" i="27"/>
  <c r="M20" i="27"/>
  <c r="N20" i="27"/>
  <c r="O20" i="27"/>
  <c r="O19" i="27" s="1"/>
  <c r="O18" i="27" s="1"/>
  <c r="P20" i="27"/>
  <c r="Q20" i="27"/>
  <c r="Q19" i="27" s="1"/>
  <c r="R20" i="27"/>
  <c r="S20" i="27"/>
  <c r="T20" i="27"/>
  <c r="C21" i="27"/>
  <c r="D21" i="27"/>
  <c r="E21" i="27"/>
  <c r="C22" i="27"/>
  <c r="D22" i="27"/>
  <c r="E22" i="27" s="1"/>
  <c r="C23" i="27"/>
  <c r="D23" i="27"/>
  <c r="E23" i="27" s="1"/>
  <c r="C24" i="27"/>
  <c r="D24" i="27"/>
  <c r="E24" i="27" s="1"/>
  <c r="C25" i="27"/>
  <c r="D25" i="27"/>
  <c r="E25" i="27"/>
  <c r="C26" i="27"/>
  <c r="D26" i="27"/>
  <c r="E26" i="27"/>
  <c r="C27" i="27"/>
  <c r="D27" i="27"/>
  <c r="E27" i="27"/>
  <c r="C28" i="27"/>
  <c r="D28" i="27"/>
  <c r="E28" i="27"/>
  <c r="C29" i="27"/>
  <c r="D29" i="27"/>
  <c r="E29" i="27"/>
  <c r="C30" i="27"/>
  <c r="D30" i="27"/>
  <c r="E30" i="27" s="1"/>
  <c r="C31" i="27"/>
  <c r="D31" i="27"/>
  <c r="E31" i="27" s="1"/>
  <c r="C32" i="27"/>
  <c r="D32" i="27"/>
  <c r="E32" i="27" s="1"/>
  <c r="C33" i="27"/>
  <c r="D33" i="27"/>
  <c r="E33" i="27"/>
  <c r="C34" i="27"/>
  <c r="D34" i="27"/>
  <c r="E34" i="27"/>
  <c r="C35" i="27"/>
  <c r="D35" i="27"/>
  <c r="E35" i="27"/>
  <c r="C36" i="27"/>
  <c r="D36" i="27"/>
  <c r="E36" i="27"/>
  <c r="C37" i="27"/>
  <c r="D37" i="27"/>
  <c r="E37" i="27"/>
  <c r="C38" i="27"/>
  <c r="D38" i="27"/>
  <c r="E38" i="27" s="1"/>
  <c r="C39" i="27"/>
  <c r="D39" i="27"/>
  <c r="E39" i="27" s="1"/>
  <c r="C40" i="27"/>
  <c r="D40" i="27"/>
  <c r="E40" i="27" s="1"/>
  <c r="E20" i="27" s="1"/>
  <c r="C41" i="27"/>
  <c r="D41" i="27"/>
  <c r="E41" i="27"/>
  <c r="C42" i="27"/>
  <c r="D42" i="27"/>
  <c r="E42" i="27"/>
  <c r="C43" i="27"/>
  <c r="D43" i="27"/>
  <c r="E43" i="27"/>
  <c r="C44" i="27"/>
  <c r="D44" i="27"/>
  <c r="E44" i="27"/>
  <c r="C45" i="27"/>
  <c r="D45" i="27"/>
  <c r="E45" i="27"/>
  <c r="C46" i="27"/>
  <c r="D46" i="27"/>
  <c r="E46" i="27" s="1"/>
  <c r="C47" i="27"/>
  <c r="D47" i="27"/>
  <c r="E47" i="27" s="1"/>
  <c r="C48" i="27"/>
  <c r="D48" i="27"/>
  <c r="E48" i="27" s="1"/>
  <c r="C49" i="27"/>
  <c r="D49" i="27"/>
  <c r="E49" i="27"/>
  <c r="C50" i="27"/>
  <c r="D50" i="27"/>
  <c r="E50" i="27"/>
  <c r="C51" i="27"/>
  <c r="D51" i="27"/>
  <c r="E51" i="27"/>
  <c r="C52" i="27"/>
  <c r="D52" i="27"/>
  <c r="E52" i="27"/>
  <c r="C53" i="27"/>
  <c r="D53" i="27"/>
  <c r="E53" i="27"/>
  <c r="C54" i="27"/>
  <c r="D54" i="27"/>
  <c r="E54" i="27" s="1"/>
  <c r="C55" i="27"/>
  <c r="D55" i="27"/>
  <c r="E55" i="27" s="1"/>
  <c r="C56" i="27"/>
  <c r="D56" i="27"/>
  <c r="E56" i="27" s="1"/>
  <c r="C57" i="27"/>
  <c r="D57" i="27"/>
  <c r="E57" i="27"/>
  <c r="C58" i="27"/>
  <c r="D58" i="27"/>
  <c r="E58" i="27"/>
  <c r="F59" i="27"/>
  <c r="F19" i="27" s="1"/>
  <c r="G59" i="27"/>
  <c r="H59" i="27"/>
  <c r="H19" i="27" s="1"/>
  <c r="H18" i="27" s="1"/>
  <c r="I59" i="27"/>
  <c r="J59" i="27"/>
  <c r="K59" i="27"/>
  <c r="L59" i="27"/>
  <c r="M59" i="27"/>
  <c r="N59" i="27"/>
  <c r="N19" i="27" s="1"/>
  <c r="O59" i="27"/>
  <c r="P59" i="27"/>
  <c r="P19" i="27" s="1"/>
  <c r="P18" i="27" s="1"/>
  <c r="Q59" i="27"/>
  <c r="R59" i="27"/>
  <c r="S59" i="27"/>
  <c r="S19" i="27" s="1"/>
  <c r="T59" i="27"/>
  <c r="C60" i="27"/>
  <c r="D60" i="27"/>
  <c r="C61" i="27"/>
  <c r="D61" i="27"/>
  <c r="C62" i="27"/>
  <c r="D62" i="27"/>
  <c r="E62" i="27"/>
  <c r="C63" i="27"/>
  <c r="D63" i="27"/>
  <c r="E63" i="27"/>
  <c r="C64" i="27"/>
  <c r="D64" i="27"/>
  <c r="E64" i="27" s="1"/>
  <c r="C65" i="27"/>
  <c r="D65" i="27"/>
  <c r="E65" i="27" s="1"/>
  <c r="C66" i="27"/>
  <c r="D66" i="27"/>
  <c r="E66" i="27" s="1"/>
  <c r="C67" i="27"/>
  <c r="D67" i="27"/>
  <c r="E67" i="27"/>
  <c r="C68" i="27"/>
  <c r="D68" i="27"/>
  <c r="E68" i="27"/>
  <c r="C69" i="27"/>
  <c r="D69" i="27"/>
  <c r="E69" i="27"/>
  <c r="C70" i="27"/>
  <c r="D70" i="27"/>
  <c r="E70" i="27"/>
  <c r="C71" i="27"/>
  <c r="D71" i="27"/>
  <c r="E71" i="27"/>
  <c r="C72" i="27"/>
  <c r="D72" i="27"/>
  <c r="E72" i="27" s="1"/>
  <c r="C73" i="27"/>
  <c r="D73" i="27"/>
  <c r="E73" i="27" s="1"/>
  <c r="C74" i="27"/>
  <c r="D74" i="27"/>
  <c r="E74" i="27" s="1"/>
  <c r="C75" i="27"/>
  <c r="D75" i="27"/>
  <c r="E75" i="27"/>
  <c r="C76" i="27"/>
  <c r="D76" i="27"/>
  <c r="E76" i="27"/>
  <c r="C77" i="27"/>
  <c r="D77" i="27"/>
  <c r="E77" i="27"/>
  <c r="C78" i="27"/>
  <c r="D78" i="27"/>
  <c r="E78" i="27"/>
  <c r="C79" i="27"/>
  <c r="D79" i="27"/>
  <c r="E79" i="27"/>
  <c r="C80" i="27"/>
  <c r="D80" i="27"/>
  <c r="E80" i="27" s="1"/>
  <c r="C81" i="27"/>
  <c r="D81" i="27"/>
  <c r="E81" i="27" s="1"/>
  <c r="C82" i="27"/>
  <c r="D82" i="27"/>
  <c r="E82" i="27" s="1"/>
  <c r="C83" i="27"/>
  <c r="D83" i="27"/>
  <c r="E83" i="27"/>
  <c r="C84" i="27"/>
  <c r="D84" i="27"/>
  <c r="E84" i="27"/>
  <c r="F85" i="27"/>
  <c r="G85" i="27"/>
  <c r="H85" i="27"/>
  <c r="I85" i="27"/>
  <c r="J85" i="27"/>
  <c r="K85" i="27"/>
  <c r="L85" i="27"/>
  <c r="M85" i="27"/>
  <c r="N85" i="27"/>
  <c r="O85" i="27"/>
  <c r="P85" i="27"/>
  <c r="Q85" i="27"/>
  <c r="R85" i="27"/>
  <c r="S85" i="27"/>
  <c r="T85" i="27"/>
  <c r="C86" i="27"/>
  <c r="D86" i="27"/>
  <c r="E86" i="27" s="1"/>
  <c r="C87" i="27"/>
  <c r="D87" i="27"/>
  <c r="E87" i="27"/>
  <c r="C88" i="27"/>
  <c r="C85" i="27" s="1"/>
  <c r="D88" i="27"/>
  <c r="E88" i="27"/>
  <c r="C89" i="27"/>
  <c r="D89" i="27"/>
  <c r="E89" i="27"/>
  <c r="C90" i="27"/>
  <c r="D90" i="27"/>
  <c r="E90" i="27"/>
  <c r="C91" i="27"/>
  <c r="D91" i="27"/>
  <c r="E91" i="27"/>
  <c r="C92" i="27"/>
  <c r="D92" i="27"/>
  <c r="E92" i="27" s="1"/>
  <c r="C93" i="27"/>
  <c r="D93" i="27"/>
  <c r="E93" i="27" s="1"/>
  <c r="C94" i="27"/>
  <c r="D94" i="27"/>
  <c r="E94" i="27" s="1"/>
  <c r="C95" i="27"/>
  <c r="D95" i="27"/>
  <c r="E95" i="27"/>
  <c r="C96" i="27"/>
  <c r="D96" i="27"/>
  <c r="E96" i="27"/>
  <c r="C97" i="27"/>
  <c r="D97" i="27"/>
  <c r="E97" i="27"/>
  <c r="C98" i="27"/>
  <c r="D98" i="27"/>
  <c r="E98" i="27"/>
  <c r="C99" i="27"/>
  <c r="D99" i="27"/>
  <c r="E99" i="27"/>
  <c r="C100" i="27"/>
  <c r="D100" i="27"/>
  <c r="E100" i="27" s="1"/>
  <c r="C101" i="27"/>
  <c r="D101" i="27"/>
  <c r="E101" i="27" s="1"/>
  <c r="C102" i="27"/>
  <c r="D102" i="27"/>
  <c r="E102" i="27" s="1"/>
  <c r="C103" i="27"/>
  <c r="D103" i="27"/>
  <c r="E103" i="27"/>
  <c r="C104" i="27"/>
  <c r="D104" i="27"/>
  <c r="E104" i="27"/>
  <c r="C105" i="27"/>
  <c r="D105" i="27"/>
  <c r="E105" i="27"/>
  <c r="C106" i="27"/>
  <c r="D106" i="27"/>
  <c r="E106" i="27"/>
  <c r="C107" i="27"/>
  <c r="D107" i="27"/>
  <c r="E107" i="27"/>
  <c r="C108" i="27"/>
  <c r="D108" i="27"/>
  <c r="E108" i="27" s="1"/>
  <c r="C109" i="27"/>
  <c r="D109" i="27"/>
  <c r="E109" i="27" s="1"/>
  <c r="C110" i="27"/>
  <c r="D110" i="27"/>
  <c r="E110" i="27" s="1"/>
  <c r="C111" i="27"/>
  <c r="D111" i="27"/>
  <c r="E111" i="27"/>
  <c r="C112" i="27"/>
  <c r="D112" i="27"/>
  <c r="E112" i="27"/>
  <c r="C113" i="27"/>
  <c r="D113" i="27"/>
  <c r="E113" i="27"/>
  <c r="C114" i="27"/>
  <c r="D114" i="27"/>
  <c r="E114" i="27"/>
  <c r="C115" i="27"/>
  <c r="D115" i="27"/>
  <c r="E115" i="27"/>
  <c r="C116" i="27"/>
  <c r="D116" i="27"/>
  <c r="E116" i="27" s="1"/>
  <c r="F117" i="27"/>
  <c r="G117" i="27"/>
  <c r="H117" i="27"/>
  <c r="I117" i="27"/>
  <c r="J117" i="27"/>
  <c r="K117" i="27"/>
  <c r="L117" i="27"/>
  <c r="M117" i="27"/>
  <c r="N117" i="27"/>
  <c r="O117" i="27"/>
  <c r="P117" i="27"/>
  <c r="Q117" i="27"/>
  <c r="R117" i="27"/>
  <c r="S117" i="27"/>
  <c r="T117" i="27"/>
  <c r="C118" i="27"/>
  <c r="D118" i="27"/>
  <c r="E118" i="27"/>
  <c r="C119" i="27"/>
  <c r="D119" i="27"/>
  <c r="E119" i="27"/>
  <c r="C120" i="27"/>
  <c r="D120" i="27"/>
  <c r="E120" i="27" s="1"/>
  <c r="E117" i="27" s="1"/>
  <c r="C121" i="27"/>
  <c r="D121" i="27"/>
  <c r="E121" i="27" s="1"/>
  <c r="C122" i="27"/>
  <c r="D122" i="27"/>
  <c r="E122" i="27" s="1"/>
  <c r="C123" i="27"/>
  <c r="C117" i="27" s="1"/>
  <c r="D123" i="27"/>
  <c r="E123" i="27"/>
  <c r="C124" i="27"/>
  <c r="D124" i="27"/>
  <c r="E124" i="27"/>
  <c r="C125" i="27"/>
  <c r="D125" i="27"/>
  <c r="E125" i="27"/>
  <c r="C126" i="27"/>
  <c r="D126" i="27"/>
  <c r="E126" i="27"/>
  <c r="C127" i="27"/>
  <c r="D127" i="27"/>
  <c r="E127" i="27"/>
  <c r="C128" i="27"/>
  <c r="D128" i="27"/>
  <c r="E128" i="27" s="1"/>
  <c r="C129" i="27"/>
  <c r="D129" i="27"/>
  <c r="E129" i="27" s="1"/>
  <c r="C130" i="27"/>
  <c r="D130" i="27"/>
  <c r="E130" i="27" s="1"/>
  <c r="C131" i="27"/>
  <c r="D131" i="27"/>
  <c r="E131" i="27"/>
  <c r="C132" i="27"/>
  <c r="D132" i="27"/>
  <c r="E132" i="27"/>
  <c r="C133" i="27"/>
  <c r="D133" i="27"/>
  <c r="E133" i="27"/>
  <c r="C134" i="27"/>
  <c r="D134" i="27"/>
  <c r="E134" i="27"/>
  <c r="F135" i="27"/>
  <c r="G135" i="27"/>
  <c r="H135" i="27"/>
  <c r="I135" i="27"/>
  <c r="J135" i="27"/>
  <c r="K135" i="27"/>
  <c r="L135" i="27"/>
  <c r="M135" i="27"/>
  <c r="N135" i="27"/>
  <c r="O135" i="27"/>
  <c r="P135" i="27"/>
  <c r="Q135" i="27"/>
  <c r="R135" i="27"/>
  <c r="S135" i="27"/>
  <c r="T135" i="27"/>
  <c r="C136" i="27"/>
  <c r="C135" i="27" s="1"/>
  <c r="D136" i="27"/>
  <c r="E136" i="27"/>
  <c r="C137" i="27"/>
  <c r="D137" i="27"/>
  <c r="E137" i="27"/>
  <c r="C138" i="27"/>
  <c r="D138" i="27"/>
  <c r="E138" i="27"/>
  <c r="E135" i="27" s="1"/>
  <c r="C139" i="27"/>
  <c r="D139" i="27"/>
  <c r="E139" i="27"/>
  <c r="G140" i="27"/>
  <c r="J140" i="27"/>
  <c r="O140" i="27"/>
  <c r="R140" i="27"/>
  <c r="C141" i="27"/>
  <c r="D141" i="27"/>
  <c r="E141" i="27"/>
  <c r="C142" i="27"/>
  <c r="D142" i="27"/>
  <c r="E142" i="27"/>
  <c r="C143" i="27"/>
  <c r="D143" i="27"/>
  <c r="E143" i="27"/>
  <c r="C144" i="27"/>
  <c r="D144" i="27"/>
  <c r="E144" i="27" s="1"/>
  <c r="C145" i="27"/>
  <c r="D145" i="27"/>
  <c r="E145" i="27" s="1"/>
  <c r="C146" i="27"/>
  <c r="D146" i="27"/>
  <c r="E146" i="27" s="1"/>
  <c r="C147" i="27"/>
  <c r="D147" i="27"/>
  <c r="E147" i="27"/>
  <c r="C148" i="27"/>
  <c r="D148" i="27"/>
  <c r="E148" i="27"/>
  <c r="C149" i="27"/>
  <c r="D149" i="27"/>
  <c r="E149" i="27"/>
  <c r="C150" i="27"/>
  <c r="D150" i="27"/>
  <c r="E150" i="27"/>
  <c r="C151" i="27"/>
  <c r="D151" i="27"/>
  <c r="E151" i="27"/>
  <c r="C152" i="27"/>
  <c r="D152" i="27"/>
  <c r="E152" i="27" s="1"/>
  <c r="C153" i="27"/>
  <c r="D153" i="27"/>
  <c r="E153" i="27" s="1"/>
  <c r="F154" i="27"/>
  <c r="G154" i="27"/>
  <c r="H154" i="27"/>
  <c r="I154" i="27"/>
  <c r="J154" i="27"/>
  <c r="K154" i="27"/>
  <c r="L154" i="27"/>
  <c r="M154" i="27"/>
  <c r="N154" i="27"/>
  <c r="O154" i="27"/>
  <c r="P154" i="27"/>
  <c r="Q154" i="27"/>
  <c r="R154" i="27"/>
  <c r="S154" i="27"/>
  <c r="T154" i="27"/>
  <c r="C155" i="27"/>
  <c r="D155" i="27"/>
  <c r="E155" i="27"/>
  <c r="C156" i="27"/>
  <c r="D156" i="27"/>
  <c r="E156" i="27" s="1"/>
  <c r="C157" i="27"/>
  <c r="D157" i="27"/>
  <c r="E157" i="27" s="1"/>
  <c r="C158" i="27"/>
  <c r="D158" i="27"/>
  <c r="E158" i="27" s="1"/>
  <c r="C159" i="27"/>
  <c r="D159" i="27"/>
  <c r="E159" i="27"/>
  <c r="C160" i="27"/>
  <c r="D160" i="27"/>
  <c r="E160" i="27"/>
  <c r="C161" i="27"/>
  <c r="D161" i="27"/>
  <c r="E161" i="27"/>
  <c r="C162" i="27"/>
  <c r="D162" i="27"/>
  <c r="E162" i="27"/>
  <c r="C163" i="27"/>
  <c r="D163" i="27"/>
  <c r="E163" i="27"/>
  <c r="C164" i="27"/>
  <c r="D164" i="27"/>
  <c r="E164" i="27" s="1"/>
  <c r="C165" i="27"/>
  <c r="D165" i="27"/>
  <c r="C166" i="27"/>
  <c r="D166" i="27"/>
  <c r="E166" i="27" s="1"/>
  <c r="C167" i="27"/>
  <c r="D167" i="27"/>
  <c r="E167" i="27"/>
  <c r="C168" i="27"/>
  <c r="D168" i="27"/>
  <c r="E168" i="27"/>
  <c r="C169" i="27"/>
  <c r="D169" i="27"/>
  <c r="E169" i="27"/>
  <c r="C170" i="27"/>
  <c r="D170" i="27"/>
  <c r="E170" i="27"/>
  <c r="C171" i="27"/>
  <c r="D171" i="27"/>
  <c r="E171" i="27"/>
  <c r="C172" i="27"/>
  <c r="D172" i="27"/>
  <c r="E172" i="27" s="1"/>
  <c r="C173" i="27"/>
  <c r="D173" i="27"/>
  <c r="E173" i="27" s="1"/>
  <c r="C174" i="27"/>
  <c r="D174" i="27"/>
  <c r="E174" i="27" s="1"/>
  <c r="C175" i="27"/>
  <c r="D175" i="27"/>
  <c r="E175" i="27"/>
  <c r="C176" i="27"/>
  <c r="D176" i="27"/>
  <c r="E176" i="27"/>
  <c r="C177" i="27"/>
  <c r="D177" i="27"/>
  <c r="E177" i="27"/>
  <c r="C178" i="27"/>
  <c r="D178" i="27"/>
  <c r="E178" i="27"/>
  <c r="C179" i="27"/>
  <c r="D179" i="27"/>
  <c r="E179" i="27"/>
  <c r="C180" i="27"/>
  <c r="D180" i="27"/>
  <c r="E180" i="27" s="1"/>
  <c r="C181" i="27"/>
  <c r="D181" i="27"/>
  <c r="E181" i="27" s="1"/>
  <c r="F182" i="27"/>
  <c r="F140" i="27" s="1"/>
  <c r="G182" i="27"/>
  <c r="H182" i="27"/>
  <c r="H140" i="27" s="1"/>
  <c r="I182" i="27"/>
  <c r="I140" i="27" s="1"/>
  <c r="J182" i="27"/>
  <c r="K182" i="27"/>
  <c r="K140" i="27" s="1"/>
  <c r="L182" i="27"/>
  <c r="M182" i="27"/>
  <c r="M140" i="27" s="1"/>
  <c r="N182" i="27"/>
  <c r="N140" i="27" s="1"/>
  <c r="O182" i="27"/>
  <c r="P182" i="27"/>
  <c r="P140" i="27" s="1"/>
  <c r="Q182" i="27"/>
  <c r="Q140" i="27" s="1"/>
  <c r="R182" i="27"/>
  <c r="S182" i="27"/>
  <c r="S140" i="27" s="1"/>
  <c r="T182" i="27"/>
  <c r="C183" i="27"/>
  <c r="D183" i="27"/>
  <c r="E183" i="27"/>
  <c r="E182" i="27" s="1"/>
  <c r="C184" i="27"/>
  <c r="D184" i="27"/>
  <c r="E184" i="27"/>
  <c r="E185" i="27"/>
  <c r="G185" i="27"/>
  <c r="H185" i="27"/>
  <c r="I185" i="27"/>
  <c r="J185" i="27"/>
  <c r="K185" i="27"/>
  <c r="L185" i="27"/>
  <c r="M185" i="27"/>
  <c r="N185" i="27"/>
  <c r="O185" i="27"/>
  <c r="P185" i="27"/>
  <c r="Q185" i="27"/>
  <c r="R185" i="27"/>
  <c r="S185" i="27"/>
  <c r="T185" i="27"/>
  <c r="C186" i="27"/>
  <c r="D186" i="27"/>
  <c r="F186" i="27" s="1"/>
  <c r="C187" i="27"/>
  <c r="D187" i="27"/>
  <c r="C188" i="27"/>
  <c r="D188" i="27"/>
  <c r="F188" i="27" s="1"/>
  <c r="C189" i="27"/>
  <c r="D189" i="27"/>
  <c r="F189" i="27" s="1"/>
  <c r="C190" i="27"/>
  <c r="D190" i="27"/>
  <c r="F190" i="27" s="1"/>
  <c r="C191" i="27"/>
  <c r="D191" i="27"/>
  <c r="F191" i="27"/>
  <c r="C192" i="27"/>
  <c r="C185" i="27" s="1"/>
  <c r="D192" i="27"/>
  <c r="F192" i="27"/>
  <c r="C193" i="27"/>
  <c r="D193" i="27"/>
  <c r="F193" i="27"/>
  <c r="C194" i="27"/>
  <c r="D194" i="27"/>
  <c r="F194" i="27"/>
  <c r="C195" i="27"/>
  <c r="D195" i="27"/>
  <c r="F195" i="27"/>
  <c r="F196" i="27"/>
  <c r="E197" i="27"/>
  <c r="F197" i="27"/>
  <c r="G197" i="27"/>
  <c r="H197" i="27"/>
  <c r="J197" i="27"/>
  <c r="K197" i="27"/>
  <c r="L197" i="27"/>
  <c r="M197" i="27"/>
  <c r="N197" i="27"/>
  <c r="O197" i="27"/>
  <c r="P197" i="27"/>
  <c r="Q197" i="27"/>
  <c r="R197" i="27"/>
  <c r="S197" i="27"/>
  <c r="T197" i="27"/>
  <c r="C198" i="27"/>
  <c r="D198" i="27"/>
  <c r="I198" i="27" s="1"/>
  <c r="C199" i="27"/>
  <c r="D199" i="27"/>
  <c r="I199" i="27"/>
  <c r="C200" i="27"/>
  <c r="D200" i="27"/>
  <c r="I200" i="27"/>
  <c r="C201" i="27"/>
  <c r="D201" i="27"/>
  <c r="I201" i="27"/>
  <c r="C202" i="27"/>
  <c r="D202" i="27"/>
  <c r="I202" i="27"/>
  <c r="C203" i="27"/>
  <c r="D203" i="27"/>
  <c r="I203" i="27"/>
  <c r="C204" i="27"/>
  <c r="D204" i="27"/>
  <c r="I204" i="27" s="1"/>
  <c r="C205" i="27"/>
  <c r="D205" i="27"/>
  <c r="I205" i="27" s="1"/>
  <c r="C206" i="27"/>
  <c r="D206" i="27"/>
  <c r="I206" i="27" s="1"/>
  <c r="C207" i="27"/>
  <c r="D207" i="27"/>
  <c r="I207" i="27"/>
  <c r="C208" i="27"/>
  <c r="D208" i="27"/>
  <c r="I208" i="27"/>
  <c r="C209" i="27"/>
  <c r="D209" i="27"/>
  <c r="I209" i="27"/>
  <c r="C210" i="27"/>
  <c r="D210" i="27"/>
  <c r="I210" i="27"/>
  <c r="C211" i="27"/>
  <c r="D211" i="27"/>
  <c r="I211" i="27"/>
  <c r="C212" i="27"/>
  <c r="D212" i="27"/>
  <c r="I212" i="27" s="1"/>
  <c r="C213" i="27"/>
  <c r="D213" i="27"/>
  <c r="I213" i="27" s="1"/>
  <c r="C214" i="27"/>
  <c r="D214" i="27"/>
  <c r="I214" i="27" s="1"/>
  <c r="C215" i="27"/>
  <c r="D215" i="27"/>
  <c r="I215" i="27"/>
  <c r="C216" i="27"/>
  <c r="D216" i="27"/>
  <c r="I216" i="27"/>
  <c r="C217" i="27"/>
  <c r="D217" i="27"/>
  <c r="I217" i="27"/>
  <c r="C218" i="27"/>
  <c r="D218" i="27"/>
  <c r="I218" i="27"/>
  <c r="C219" i="27"/>
  <c r="D219" i="27"/>
  <c r="I219" i="27"/>
  <c r="C220" i="27"/>
  <c r="D220" i="27"/>
  <c r="I220" i="27" s="1"/>
  <c r="C221" i="27"/>
  <c r="D221" i="27"/>
  <c r="I221" i="27" s="1"/>
  <c r="C222" i="27"/>
  <c r="D222" i="27"/>
  <c r="I222" i="27" s="1"/>
  <c r="C223" i="27"/>
  <c r="D223" i="27"/>
  <c r="I223" i="27"/>
  <c r="C224" i="27"/>
  <c r="D224" i="27"/>
  <c r="I224" i="27"/>
  <c r="E225" i="27"/>
  <c r="J225" i="27"/>
  <c r="K225" i="27"/>
  <c r="N225" i="27"/>
  <c r="P225" i="27"/>
  <c r="R225" i="27"/>
  <c r="S225" i="27"/>
  <c r="E226" i="27"/>
  <c r="F226" i="27"/>
  <c r="F225" i="27" s="1"/>
  <c r="G226" i="27"/>
  <c r="H226" i="27"/>
  <c r="H225" i="27" s="1"/>
  <c r="J226" i="27"/>
  <c r="K226" i="27"/>
  <c r="L226" i="27"/>
  <c r="L225" i="27" s="1"/>
  <c r="M226" i="27"/>
  <c r="M225" i="27" s="1"/>
  <c r="N226" i="27"/>
  <c r="O226" i="27"/>
  <c r="O225" i="27" s="1"/>
  <c r="O196" i="27" s="1"/>
  <c r="P226" i="27"/>
  <c r="Q226" i="27"/>
  <c r="Q225" i="27" s="1"/>
  <c r="R226" i="27"/>
  <c r="S226" i="27"/>
  <c r="T226" i="27"/>
  <c r="T225" i="27" s="1"/>
  <c r="C227" i="27"/>
  <c r="D227" i="27"/>
  <c r="C228" i="27"/>
  <c r="D228" i="27"/>
  <c r="I228" i="27"/>
  <c r="C229" i="27"/>
  <c r="D229" i="27"/>
  <c r="I229" i="27"/>
  <c r="C230" i="27"/>
  <c r="D230" i="27"/>
  <c r="I230" i="27"/>
  <c r="C231" i="27"/>
  <c r="D231" i="27"/>
  <c r="I231" i="27" s="1"/>
  <c r="C232" i="27"/>
  <c r="D232" i="27"/>
  <c r="I232" i="27" s="1"/>
  <c r="C233" i="27"/>
  <c r="D233" i="27"/>
  <c r="I233" i="27" s="1"/>
  <c r="C234" i="27"/>
  <c r="D234" i="27"/>
  <c r="I234" i="27"/>
  <c r="C235" i="27"/>
  <c r="D235" i="27"/>
  <c r="I235" i="27"/>
  <c r="C236" i="27"/>
  <c r="D236" i="27"/>
  <c r="I236" i="27"/>
  <c r="E237" i="27"/>
  <c r="F237" i="27"/>
  <c r="G237" i="27"/>
  <c r="G225" i="27" s="1"/>
  <c r="H237" i="27"/>
  <c r="J237" i="27"/>
  <c r="K237" i="27"/>
  <c r="L237" i="27"/>
  <c r="M237" i="27"/>
  <c r="N237" i="27"/>
  <c r="O237" i="27"/>
  <c r="P237" i="27"/>
  <c r="Q237" i="27"/>
  <c r="R237" i="27"/>
  <c r="S237" i="27"/>
  <c r="T237" i="27"/>
  <c r="C238" i="27"/>
  <c r="D238" i="27"/>
  <c r="C239" i="27"/>
  <c r="D239" i="27"/>
  <c r="I239" i="27" s="1"/>
  <c r="C240" i="27"/>
  <c r="D240" i="27"/>
  <c r="I240" i="27" s="1"/>
  <c r="C241" i="27"/>
  <c r="D241" i="27"/>
  <c r="I241" i="27"/>
  <c r="C242" i="27"/>
  <c r="D242" i="27"/>
  <c r="I242" i="27"/>
  <c r="C243" i="27"/>
  <c r="D243" i="27"/>
  <c r="I243" i="27"/>
  <c r="C244" i="27"/>
  <c r="D244" i="27"/>
  <c r="I244" i="27"/>
  <c r="E245" i="27"/>
  <c r="F245" i="27"/>
  <c r="G245" i="27"/>
  <c r="H245" i="27"/>
  <c r="J245" i="27"/>
  <c r="J196" i="27" s="1"/>
  <c r="K245" i="27"/>
  <c r="L245" i="27"/>
  <c r="M245" i="27"/>
  <c r="N245" i="27"/>
  <c r="O245" i="27"/>
  <c r="P245" i="27"/>
  <c r="Q245" i="27"/>
  <c r="R245" i="27"/>
  <c r="R196" i="27" s="1"/>
  <c r="S245" i="27"/>
  <c r="T245" i="27"/>
  <c r="C246" i="27"/>
  <c r="D246" i="27"/>
  <c r="C247" i="27"/>
  <c r="D247" i="27"/>
  <c r="I247" i="27" s="1"/>
  <c r="C248" i="27"/>
  <c r="D248" i="27"/>
  <c r="I248" i="27"/>
  <c r="C249" i="27"/>
  <c r="D249" i="27"/>
  <c r="I249" i="27"/>
  <c r="C250" i="27"/>
  <c r="D250" i="27"/>
  <c r="I250" i="27"/>
  <c r="C251" i="27"/>
  <c r="D251" i="27"/>
  <c r="I251" i="27" s="1"/>
  <c r="C252" i="27"/>
  <c r="D252" i="27"/>
  <c r="I252" i="27"/>
  <c r="C253" i="27"/>
  <c r="D253" i="27"/>
  <c r="I253" i="27" s="1"/>
  <c r="E254" i="27"/>
  <c r="F254" i="27"/>
  <c r="G254" i="27"/>
  <c r="H254" i="27"/>
  <c r="J254" i="27"/>
  <c r="K254" i="27"/>
  <c r="L254" i="27"/>
  <c r="M254" i="27"/>
  <c r="N254" i="27"/>
  <c r="O254" i="27"/>
  <c r="P254" i="27"/>
  <c r="Q254" i="27"/>
  <c r="R254" i="27"/>
  <c r="S254" i="27"/>
  <c r="T254" i="27"/>
  <c r="C255" i="27"/>
  <c r="C254" i="27"/>
  <c r="D255" i="27"/>
  <c r="I255" i="27" s="1"/>
  <c r="I254" i="27" s="1"/>
  <c r="C256" i="27"/>
  <c r="D256" i="27"/>
  <c r="I256" i="27"/>
  <c r="C257" i="27"/>
  <c r="E257" i="27"/>
  <c r="F257" i="27"/>
  <c r="G257" i="27"/>
  <c r="H257" i="27"/>
  <c r="J257" i="27"/>
  <c r="K257" i="27"/>
  <c r="L257" i="27"/>
  <c r="M257" i="27"/>
  <c r="N257" i="27"/>
  <c r="O257" i="27"/>
  <c r="P257" i="27"/>
  <c r="Q257" i="27"/>
  <c r="R257" i="27"/>
  <c r="S257" i="27"/>
  <c r="T257" i="27"/>
  <c r="C258" i="27"/>
  <c r="D258" i="27"/>
  <c r="I258" i="27" s="1"/>
  <c r="I257" i="27" s="1"/>
  <c r="E259" i="27"/>
  <c r="F259" i="27"/>
  <c r="G259" i="27"/>
  <c r="H259" i="27"/>
  <c r="J259" i="27"/>
  <c r="K259" i="27"/>
  <c r="L259" i="27"/>
  <c r="M259" i="27"/>
  <c r="N259" i="27"/>
  <c r="O259" i="27"/>
  <c r="P259" i="27"/>
  <c r="Q259" i="27"/>
  <c r="R259" i="27"/>
  <c r="S259" i="27"/>
  <c r="T259" i="27"/>
  <c r="D260" i="27"/>
  <c r="I260" i="27"/>
  <c r="D261" i="27"/>
  <c r="I261" i="27"/>
  <c r="D262" i="27"/>
  <c r="I262" i="27"/>
  <c r="D263" i="27"/>
  <c r="I263" i="27" s="1"/>
  <c r="D264" i="27"/>
  <c r="I264" i="27"/>
  <c r="D265" i="27"/>
  <c r="D266" i="27"/>
  <c r="I266" i="27"/>
  <c r="D267" i="27"/>
  <c r="I267" i="27" s="1"/>
  <c r="D268" i="27"/>
  <c r="I268" i="27"/>
  <c r="D269" i="27"/>
  <c r="I269" i="27" s="1"/>
  <c r="D270" i="27"/>
  <c r="I270" i="27"/>
  <c r="D271" i="27"/>
  <c r="I271" i="27" s="1"/>
  <c r="D272" i="27"/>
  <c r="I272" i="27"/>
  <c r="D273" i="27"/>
  <c r="I273" i="27" s="1"/>
  <c r="G274" i="27"/>
  <c r="L274" i="27"/>
  <c r="P274" i="27"/>
  <c r="T274" i="27"/>
  <c r="C275" i="27"/>
  <c r="D275" i="27"/>
  <c r="J275" i="27"/>
  <c r="C276" i="27"/>
  <c r="D276" i="27"/>
  <c r="J276" i="27"/>
  <c r="E277" i="27"/>
  <c r="F277" i="27"/>
  <c r="G277" i="27"/>
  <c r="H277" i="27"/>
  <c r="I277" i="27"/>
  <c r="K277" i="27"/>
  <c r="K274" i="27" s="1"/>
  <c r="L277" i="27"/>
  <c r="M277" i="27"/>
  <c r="N277" i="27"/>
  <c r="O277" i="27"/>
  <c r="P277" i="27"/>
  <c r="Q277" i="27"/>
  <c r="R277" i="27"/>
  <c r="S277" i="27"/>
  <c r="S274" i="27" s="1"/>
  <c r="T277" i="27"/>
  <c r="C278" i="27"/>
  <c r="D278" i="27"/>
  <c r="D277" i="27" s="1"/>
  <c r="J278" i="27"/>
  <c r="C279" i="27"/>
  <c r="D279" i="27"/>
  <c r="J279" i="27" s="1"/>
  <c r="C280" i="27"/>
  <c r="D280" i="27"/>
  <c r="J280" i="27"/>
  <c r="C281" i="27"/>
  <c r="D281" i="27"/>
  <c r="J281" i="27"/>
  <c r="C282" i="27"/>
  <c r="D282" i="27"/>
  <c r="J282" i="27"/>
  <c r="C283" i="27"/>
  <c r="D283" i="27"/>
  <c r="J283" i="27" s="1"/>
  <c r="C284" i="27"/>
  <c r="D284" i="27"/>
  <c r="J284" i="27"/>
  <c r="E285" i="27"/>
  <c r="E274" i="27" s="1"/>
  <c r="F285" i="27"/>
  <c r="G285" i="27"/>
  <c r="H285" i="27"/>
  <c r="I285" i="27"/>
  <c r="K285" i="27"/>
  <c r="L285" i="27"/>
  <c r="M285" i="27"/>
  <c r="M274" i="27" s="1"/>
  <c r="N285" i="27"/>
  <c r="N274" i="27" s="1"/>
  <c r="O285" i="27"/>
  <c r="P285" i="27"/>
  <c r="Q285" i="27"/>
  <c r="R285" i="27"/>
  <c r="S285" i="27"/>
  <c r="T285" i="27"/>
  <c r="C286" i="27"/>
  <c r="C285" i="27" s="1"/>
  <c r="D286" i="27"/>
  <c r="D285" i="27"/>
  <c r="C287" i="27"/>
  <c r="D287" i="27"/>
  <c r="J287" i="27" s="1"/>
  <c r="C288" i="27"/>
  <c r="E288" i="27"/>
  <c r="F288" i="27"/>
  <c r="G288" i="27"/>
  <c r="H288" i="27"/>
  <c r="I288" i="27"/>
  <c r="I274" i="27" s="1"/>
  <c r="K288" i="27"/>
  <c r="L288" i="27"/>
  <c r="M288" i="27"/>
  <c r="N288" i="27"/>
  <c r="O288" i="27"/>
  <c r="P288" i="27"/>
  <c r="Q288" i="27"/>
  <c r="R288" i="27"/>
  <c r="R274" i="27" s="1"/>
  <c r="S288" i="27"/>
  <c r="T288" i="27"/>
  <c r="D289" i="27"/>
  <c r="D290" i="27"/>
  <c r="J290" i="27" s="1"/>
  <c r="E291" i="27"/>
  <c r="F291" i="27"/>
  <c r="G291" i="27"/>
  <c r="H291" i="27"/>
  <c r="I291" i="27"/>
  <c r="J291" i="27"/>
  <c r="L291" i="27"/>
  <c r="M291" i="27"/>
  <c r="N291" i="27"/>
  <c r="O291" i="27"/>
  <c r="P291" i="27"/>
  <c r="Q291" i="27"/>
  <c r="R291" i="27"/>
  <c r="S291" i="27"/>
  <c r="T291" i="27"/>
  <c r="C292" i="27"/>
  <c r="C291" i="27"/>
  <c r="D292" i="27"/>
  <c r="D291" i="27" s="1"/>
  <c r="K292" i="27"/>
  <c r="K291" i="27" s="1"/>
  <c r="C293" i="27"/>
  <c r="D293" i="27"/>
  <c r="E294" i="27"/>
  <c r="F294" i="27"/>
  <c r="G294" i="27"/>
  <c r="H294" i="27"/>
  <c r="I294" i="27"/>
  <c r="J294" i="27"/>
  <c r="K294" i="27"/>
  <c r="M294" i="27"/>
  <c r="N294" i="27"/>
  <c r="O294" i="27"/>
  <c r="P294" i="27"/>
  <c r="Q294" i="27"/>
  <c r="R294" i="27"/>
  <c r="S294" i="27"/>
  <c r="T294" i="27"/>
  <c r="C295" i="27"/>
  <c r="D295" i="27"/>
  <c r="L295" i="27"/>
  <c r="C296" i="27"/>
  <c r="C294" i="27" s="1"/>
  <c r="D296" i="27"/>
  <c r="E297" i="27"/>
  <c r="F297" i="27"/>
  <c r="G297" i="27"/>
  <c r="H297" i="27"/>
  <c r="I297" i="27"/>
  <c r="J297" i="27"/>
  <c r="K297" i="27"/>
  <c r="L297" i="27"/>
  <c r="M297" i="27"/>
  <c r="O297" i="27"/>
  <c r="P297" i="27"/>
  <c r="Q297" i="27"/>
  <c r="R297" i="27"/>
  <c r="S297" i="27"/>
  <c r="T297" i="27"/>
  <c r="C298" i="27"/>
  <c r="C297" i="27" s="1"/>
  <c r="D298" i="27"/>
  <c r="N298" i="27" s="1"/>
  <c r="C299" i="27"/>
  <c r="D299" i="27"/>
  <c r="C300" i="27"/>
  <c r="D300" i="27"/>
  <c r="N300" i="27"/>
  <c r="E301" i="27"/>
  <c r="F301" i="27"/>
  <c r="G301" i="27"/>
  <c r="H301" i="27"/>
  <c r="I301" i="27"/>
  <c r="J301" i="27"/>
  <c r="K301" i="27"/>
  <c r="L301" i="27"/>
  <c r="M301" i="27"/>
  <c r="O301" i="27"/>
  <c r="P301" i="27"/>
  <c r="Q301" i="27"/>
  <c r="R301" i="27"/>
  <c r="S301" i="27"/>
  <c r="T301" i="27"/>
  <c r="C302" i="27"/>
  <c r="D302" i="27"/>
  <c r="N302" i="27" s="1"/>
  <c r="C303" i="27"/>
  <c r="D303" i="27"/>
  <c r="C304" i="27"/>
  <c r="D304" i="27"/>
  <c r="N304" i="27"/>
  <c r="C305" i="27"/>
  <c r="D305" i="27"/>
  <c r="N305" i="27"/>
  <c r="C306" i="27"/>
  <c r="D306" i="27"/>
  <c r="N306" i="27"/>
  <c r="C307" i="27"/>
  <c r="D307" i="27"/>
  <c r="N307" i="27" s="1"/>
  <c r="C308" i="27"/>
  <c r="D308" i="27"/>
  <c r="N308" i="27"/>
  <c r="C309" i="27"/>
  <c r="D309" i="27"/>
  <c r="N309" i="27"/>
  <c r="C310" i="27"/>
  <c r="D310" i="27"/>
  <c r="N310" i="27" s="1"/>
  <c r="C311" i="27"/>
  <c r="D311" i="27"/>
  <c r="N311" i="27" s="1"/>
  <c r="C312" i="27"/>
  <c r="D312" i="27"/>
  <c r="N312" i="27"/>
  <c r="C313" i="27"/>
  <c r="D313" i="27"/>
  <c r="N313" i="27"/>
  <c r="H314" i="27"/>
  <c r="P314" i="27"/>
  <c r="E315" i="27"/>
  <c r="F315" i="27"/>
  <c r="F314" i="27" s="1"/>
  <c r="G315" i="27"/>
  <c r="H315" i="27"/>
  <c r="I315" i="27"/>
  <c r="I314" i="27" s="1"/>
  <c r="J315" i="27"/>
  <c r="J314" i="27" s="1"/>
  <c r="K315" i="27"/>
  <c r="K314" i="27" s="1"/>
  <c r="L315" i="27"/>
  <c r="M315" i="27"/>
  <c r="N315" i="27"/>
  <c r="N314" i="27" s="1"/>
  <c r="O315" i="27"/>
  <c r="P315" i="27"/>
  <c r="R315" i="27"/>
  <c r="R314" i="27" s="1"/>
  <c r="S315" i="27"/>
  <c r="S314" i="27" s="1"/>
  <c r="T315" i="27"/>
  <c r="T314" i="27" s="1"/>
  <c r="C316" i="27"/>
  <c r="D316" i="27"/>
  <c r="Q316" i="27"/>
  <c r="C317" i="27"/>
  <c r="D317" i="27"/>
  <c r="Q317" i="27"/>
  <c r="C318" i="27"/>
  <c r="D318" i="27"/>
  <c r="Q318" i="27" s="1"/>
  <c r="C319" i="27"/>
  <c r="D319" i="27"/>
  <c r="Q319" i="27" s="1"/>
  <c r="C320" i="27"/>
  <c r="D320" i="27"/>
  <c r="Q320" i="27"/>
  <c r="C321" i="27"/>
  <c r="D321" i="27"/>
  <c r="Q321" i="27"/>
  <c r="C322" i="27"/>
  <c r="D322" i="27"/>
  <c r="Q322" i="27"/>
  <c r="C323" i="27"/>
  <c r="D323" i="27"/>
  <c r="Q323" i="27" s="1"/>
  <c r="C324" i="27"/>
  <c r="D324" i="27"/>
  <c r="Q324" i="27"/>
  <c r="C325" i="27"/>
  <c r="D325" i="27"/>
  <c r="Q325" i="27"/>
  <c r="C326" i="27"/>
  <c r="D326" i="27"/>
  <c r="Q326" i="27" s="1"/>
  <c r="C327" i="27"/>
  <c r="D327" i="27"/>
  <c r="Q327" i="27" s="1"/>
  <c r="C328" i="27"/>
  <c r="D328" i="27"/>
  <c r="Q328" i="27" s="1"/>
  <c r="C329" i="27"/>
  <c r="D329" i="27"/>
  <c r="Q329" i="27"/>
  <c r="C330" i="27"/>
  <c r="D330" i="27"/>
  <c r="Q330" i="27"/>
  <c r="C331" i="27"/>
  <c r="D331" i="27"/>
  <c r="Q331" i="27" s="1"/>
  <c r="C332" i="27"/>
  <c r="D332" i="27"/>
  <c r="Q332" i="27"/>
  <c r="C333" i="27"/>
  <c r="D333" i="27"/>
  <c r="Q333" i="27"/>
  <c r="C334" i="27"/>
  <c r="D334" i="27"/>
  <c r="Q334" i="27" s="1"/>
  <c r="C335" i="27"/>
  <c r="D335" i="27"/>
  <c r="Q335" i="27" s="1"/>
  <c r="C336" i="27"/>
  <c r="D336" i="27"/>
  <c r="D315" i="27" s="1"/>
  <c r="C337" i="27"/>
  <c r="D337" i="27"/>
  <c r="Q337" i="27"/>
  <c r="C338" i="27"/>
  <c r="D338" i="27"/>
  <c r="Q338" i="27"/>
  <c r="C339" i="27"/>
  <c r="D339" i="27"/>
  <c r="Q339" i="27" s="1"/>
  <c r="C340" i="27"/>
  <c r="D340" i="27"/>
  <c r="Q340" i="27"/>
  <c r="C341" i="27"/>
  <c r="D341" i="27"/>
  <c r="Q341" i="27"/>
  <c r="C342" i="27"/>
  <c r="D342" i="27"/>
  <c r="Q342" i="27" s="1"/>
  <c r="C343" i="27"/>
  <c r="D343" i="27"/>
  <c r="Q343" i="27" s="1"/>
  <c r="C344" i="27"/>
  <c r="D344" i="27"/>
  <c r="Q344" i="27" s="1"/>
  <c r="C345" i="27"/>
  <c r="D345" i="27"/>
  <c r="Q345" i="27"/>
  <c r="C346" i="27"/>
  <c r="D346" i="27"/>
  <c r="Q346" i="27"/>
  <c r="C347" i="27"/>
  <c r="D347" i="27"/>
  <c r="Q347" i="27" s="1"/>
  <c r="C348" i="27"/>
  <c r="D348" i="27"/>
  <c r="Q348" i="27"/>
  <c r="C349" i="27"/>
  <c r="D349" i="27"/>
  <c r="Q349" i="27"/>
  <c r="C350" i="27"/>
  <c r="D350" i="27"/>
  <c r="Q350" i="27" s="1"/>
  <c r="C351" i="27"/>
  <c r="D351" i="27"/>
  <c r="Q351" i="27" s="1"/>
  <c r="C352" i="27"/>
  <c r="D352" i="27"/>
  <c r="Q352" i="27" s="1"/>
  <c r="C353" i="27"/>
  <c r="D353" i="27"/>
  <c r="Q353" i="27"/>
  <c r="C354" i="27"/>
  <c r="D354" i="27"/>
  <c r="Q354" i="27"/>
  <c r="C355" i="27"/>
  <c r="D355" i="27"/>
  <c r="Q355" i="27" s="1"/>
  <c r="C356" i="27"/>
  <c r="D356" i="27"/>
  <c r="Q356" i="27"/>
  <c r="C357" i="27"/>
  <c r="D357" i="27"/>
  <c r="Q357" i="27" s="1"/>
  <c r="C358" i="27"/>
  <c r="D358" i="27"/>
  <c r="Q358" i="27"/>
  <c r="C359" i="27"/>
  <c r="D359" i="27"/>
  <c r="Q359" i="27"/>
  <c r="E360" i="27"/>
  <c r="E314" i="27" s="1"/>
  <c r="F360" i="27"/>
  <c r="G360" i="27"/>
  <c r="G314" i="27" s="1"/>
  <c r="H360" i="27"/>
  <c r="I360" i="27"/>
  <c r="J360" i="27"/>
  <c r="K360" i="27"/>
  <c r="L360" i="27"/>
  <c r="L314" i="27" s="1"/>
  <c r="M360" i="27"/>
  <c r="M314" i="27" s="1"/>
  <c r="N360" i="27"/>
  <c r="O360" i="27"/>
  <c r="O314" i="27" s="1"/>
  <c r="P360" i="27"/>
  <c r="R360" i="27"/>
  <c r="S360" i="27"/>
  <c r="T360" i="27"/>
  <c r="C361" i="27"/>
  <c r="D361" i="27"/>
  <c r="C362" i="27"/>
  <c r="D362" i="27"/>
  <c r="Q362" i="27"/>
  <c r="C363" i="27"/>
  <c r="D363" i="27"/>
  <c r="Q363" i="27"/>
  <c r="C364" i="27"/>
  <c r="D364" i="27"/>
  <c r="Q364" i="27"/>
  <c r="C365" i="27"/>
  <c r="D365" i="27"/>
  <c r="Q365" i="27" s="1"/>
  <c r="C366" i="27"/>
  <c r="D366" i="27"/>
  <c r="Q366" i="27"/>
  <c r="C367" i="27"/>
  <c r="D367" i="27"/>
  <c r="Q367" i="27"/>
  <c r="C368" i="27"/>
  <c r="C360" i="27" s="1"/>
  <c r="D368" i="27"/>
  <c r="Q368" i="27"/>
  <c r="C369" i="27"/>
  <c r="D369" i="27"/>
  <c r="Q369" i="27" s="1"/>
  <c r="E370" i="27"/>
  <c r="F370" i="27"/>
  <c r="G370" i="27"/>
  <c r="H370" i="27"/>
  <c r="I370" i="27"/>
  <c r="J370" i="27"/>
  <c r="K370" i="27"/>
  <c r="L370" i="27"/>
  <c r="M370" i="27"/>
  <c r="N370" i="27"/>
  <c r="O370" i="27"/>
  <c r="P370" i="27"/>
  <c r="R370" i="27"/>
  <c r="S370" i="27"/>
  <c r="T370" i="27"/>
  <c r="C371" i="27"/>
  <c r="D371" i="27"/>
  <c r="Q371" i="27"/>
  <c r="C372" i="27"/>
  <c r="D372" i="27"/>
  <c r="Q372" i="27"/>
  <c r="C373" i="27"/>
  <c r="D373" i="27"/>
  <c r="Q373" i="27" s="1"/>
  <c r="C374" i="27"/>
  <c r="D374" i="27"/>
  <c r="Q374" i="27"/>
  <c r="C375" i="27"/>
  <c r="D375" i="27"/>
  <c r="Q375" i="27" s="1"/>
  <c r="C376" i="27"/>
  <c r="D376" i="27"/>
  <c r="Q376" i="27"/>
  <c r="C377" i="27"/>
  <c r="D377" i="27"/>
  <c r="Q377" i="27"/>
  <c r="C378" i="27"/>
  <c r="C370" i="27" s="1"/>
  <c r="D378" i="27"/>
  <c r="Q378" i="27" s="1"/>
  <c r="C379" i="27"/>
  <c r="D379" i="27"/>
  <c r="Q379" i="27"/>
  <c r="C380" i="27"/>
  <c r="D380" i="27"/>
  <c r="Q380" i="27"/>
  <c r="C381" i="27"/>
  <c r="D381" i="27"/>
  <c r="Q381" i="27"/>
  <c r="C382" i="27"/>
  <c r="D382" i="27"/>
  <c r="Q382" i="27" s="1"/>
  <c r="C383" i="27"/>
  <c r="D383" i="27"/>
  <c r="Q383" i="27" s="1"/>
  <c r="C384" i="27"/>
  <c r="D384" i="27"/>
  <c r="Q384" i="27"/>
  <c r="C385" i="27"/>
  <c r="D385" i="27"/>
  <c r="Q385" i="27"/>
  <c r="C386" i="27"/>
  <c r="D386" i="27"/>
  <c r="Q386" i="27" s="1"/>
  <c r="C387" i="27"/>
  <c r="D387" i="27"/>
  <c r="Q387" i="27"/>
  <c r="C388" i="27"/>
  <c r="D388" i="27"/>
  <c r="Q388" i="27"/>
  <c r="C389" i="27"/>
  <c r="D389" i="27"/>
  <c r="Q389" i="27"/>
  <c r="C390" i="27"/>
  <c r="D390" i="27"/>
  <c r="Q390" i="27" s="1"/>
  <c r="C391" i="27"/>
  <c r="D391" i="27"/>
  <c r="Q391" i="27"/>
  <c r="C392" i="27"/>
  <c r="D392" i="27"/>
  <c r="Q392" i="27" s="1"/>
  <c r="C393" i="27"/>
  <c r="D393" i="27"/>
  <c r="Q393" i="27"/>
  <c r="C394" i="27"/>
  <c r="D394" i="27"/>
  <c r="Q394" i="27" s="1"/>
  <c r="C395" i="27"/>
  <c r="D395" i="27"/>
  <c r="Q395" i="27"/>
  <c r="C396" i="27"/>
  <c r="D396" i="27"/>
  <c r="Q396" i="27"/>
  <c r="C397" i="27"/>
  <c r="D397" i="27"/>
  <c r="Q397" i="27"/>
  <c r="C398" i="27"/>
  <c r="D398" i="27"/>
  <c r="Q398" i="27" s="1"/>
  <c r="E400" i="27"/>
  <c r="F400" i="27"/>
  <c r="G400" i="27"/>
  <c r="G399" i="27" s="1"/>
  <c r="H400" i="27"/>
  <c r="I400" i="27"/>
  <c r="J400" i="27"/>
  <c r="K400" i="27"/>
  <c r="L400" i="27"/>
  <c r="M400" i="27"/>
  <c r="N400" i="27"/>
  <c r="O400" i="27"/>
  <c r="O399" i="27" s="1"/>
  <c r="P400" i="27"/>
  <c r="Q400" i="27"/>
  <c r="S400" i="27"/>
  <c r="T400" i="27"/>
  <c r="C401" i="27"/>
  <c r="D401" i="27"/>
  <c r="R401" i="27"/>
  <c r="C402" i="27"/>
  <c r="D402" i="27"/>
  <c r="R402" i="27" s="1"/>
  <c r="C403" i="27"/>
  <c r="D403" i="27"/>
  <c r="C404" i="27"/>
  <c r="D404" i="27"/>
  <c r="R404" i="27"/>
  <c r="C405" i="27"/>
  <c r="D405" i="27"/>
  <c r="R405" i="27" s="1"/>
  <c r="R400" i="27" s="1"/>
  <c r="C406" i="27"/>
  <c r="D406" i="27"/>
  <c r="R406" i="27"/>
  <c r="C407" i="27"/>
  <c r="D407" i="27"/>
  <c r="R407" i="27"/>
  <c r="C408" i="27"/>
  <c r="D408" i="27"/>
  <c r="R408" i="27"/>
  <c r="C409" i="27"/>
  <c r="D409" i="27"/>
  <c r="R409" i="27" s="1"/>
  <c r="C410" i="27"/>
  <c r="D410" i="27"/>
  <c r="R410" i="27"/>
  <c r="E411" i="27"/>
  <c r="F411" i="27"/>
  <c r="G411" i="27"/>
  <c r="H411" i="27"/>
  <c r="I411" i="27"/>
  <c r="J411" i="27"/>
  <c r="K411" i="27"/>
  <c r="K399" i="27" s="1"/>
  <c r="L411" i="27"/>
  <c r="M411" i="27"/>
  <c r="N411" i="27"/>
  <c r="O411" i="27"/>
  <c r="P411" i="27"/>
  <c r="Q411" i="27"/>
  <c r="S411" i="27"/>
  <c r="T411" i="27"/>
  <c r="T399" i="27" s="1"/>
  <c r="C412" i="27"/>
  <c r="C411" i="27" s="1"/>
  <c r="D412" i="27"/>
  <c r="C413" i="27"/>
  <c r="D413" i="27"/>
  <c r="R413" i="27"/>
  <c r="C414" i="27"/>
  <c r="D414" i="27"/>
  <c r="R414" i="27"/>
  <c r="C415" i="27"/>
  <c r="D415" i="27"/>
  <c r="R415" i="27"/>
  <c r="C416" i="27"/>
  <c r="D416" i="27"/>
  <c r="R416" i="27"/>
  <c r="C417" i="27"/>
  <c r="D417" i="27"/>
  <c r="R417" i="27" s="1"/>
  <c r="C418" i="27"/>
  <c r="D418" i="27"/>
  <c r="R418" i="27"/>
  <c r="C419" i="27"/>
  <c r="D419" i="27"/>
  <c r="R419" i="27"/>
  <c r="C420" i="27"/>
  <c r="D420" i="27"/>
  <c r="R420" i="27"/>
  <c r="E421" i="27"/>
  <c r="F421" i="27"/>
  <c r="F399" i="27" s="1"/>
  <c r="G421" i="27"/>
  <c r="H421" i="27"/>
  <c r="I421" i="27"/>
  <c r="J421" i="27"/>
  <c r="K421" i="27"/>
  <c r="L421" i="27"/>
  <c r="M421" i="27"/>
  <c r="N421" i="27"/>
  <c r="N399" i="27" s="1"/>
  <c r="O421" i="27"/>
  <c r="P421" i="27"/>
  <c r="Q421" i="27"/>
  <c r="S421" i="27"/>
  <c r="T421" i="27"/>
  <c r="C422" i="27"/>
  <c r="C421" i="27"/>
  <c r="D422" i="27"/>
  <c r="R422" i="27" s="1"/>
  <c r="R421" i="27" s="1"/>
  <c r="E423" i="27"/>
  <c r="F423" i="27"/>
  <c r="G423" i="27"/>
  <c r="H423" i="27"/>
  <c r="I423" i="27"/>
  <c r="J423" i="27"/>
  <c r="K423" i="27"/>
  <c r="L423" i="27"/>
  <c r="M423" i="27"/>
  <c r="N423" i="27"/>
  <c r="O423" i="27"/>
  <c r="P423" i="27"/>
  <c r="Q423" i="27"/>
  <c r="S423" i="27"/>
  <c r="T423" i="27"/>
  <c r="C424" i="27"/>
  <c r="C423" i="27"/>
  <c r="D424" i="27"/>
  <c r="R424" i="27" s="1"/>
  <c r="C425" i="27"/>
  <c r="D425" i="27"/>
  <c r="R425" i="27" s="1"/>
  <c r="C426" i="27"/>
  <c r="D426" i="27"/>
  <c r="R426" i="27" s="1"/>
  <c r="C427" i="27"/>
  <c r="D427" i="27"/>
  <c r="R427" i="27"/>
  <c r="E428" i="27"/>
  <c r="F428" i="27"/>
  <c r="G428" i="27"/>
  <c r="H428" i="27"/>
  <c r="I428" i="27"/>
  <c r="J428" i="27"/>
  <c r="K428" i="27"/>
  <c r="L428" i="27"/>
  <c r="M428" i="27"/>
  <c r="N428" i="27"/>
  <c r="O428" i="27"/>
  <c r="P428" i="27"/>
  <c r="Q428" i="27"/>
  <c r="S428" i="27"/>
  <c r="T428" i="27"/>
  <c r="C429" i="27"/>
  <c r="C428" i="27"/>
  <c r="D429" i="27"/>
  <c r="D428" i="27"/>
  <c r="E430" i="27"/>
  <c r="F430" i="27"/>
  <c r="G430" i="27"/>
  <c r="H430" i="27"/>
  <c r="I430" i="27"/>
  <c r="J430" i="27"/>
  <c r="K430" i="27"/>
  <c r="L430" i="27"/>
  <c r="M430" i="27"/>
  <c r="N430" i="27"/>
  <c r="O430" i="27"/>
  <c r="P430" i="27"/>
  <c r="Q430" i="27"/>
  <c r="S430" i="27"/>
  <c r="T430" i="27"/>
  <c r="C431" i="27"/>
  <c r="C430" i="27"/>
  <c r="D431" i="27"/>
  <c r="E432" i="27"/>
  <c r="F432" i="27"/>
  <c r="G432" i="27"/>
  <c r="H432" i="27"/>
  <c r="I432" i="27"/>
  <c r="J432" i="27"/>
  <c r="K432" i="27"/>
  <c r="L432" i="27"/>
  <c r="M432" i="27"/>
  <c r="N432" i="27"/>
  <c r="O432" i="27"/>
  <c r="P432" i="27"/>
  <c r="Q432" i="27"/>
  <c r="S432" i="27"/>
  <c r="T432" i="27"/>
  <c r="C433" i="27"/>
  <c r="C432" i="27"/>
  <c r="D433" i="27"/>
  <c r="C434" i="27"/>
  <c r="D434" i="27"/>
  <c r="R434" i="27"/>
  <c r="C435" i="27"/>
  <c r="D435" i="27"/>
  <c r="R435" i="27"/>
  <c r="E436" i="27"/>
  <c r="F436" i="27"/>
  <c r="G436" i="27"/>
  <c r="H436" i="27"/>
  <c r="I436" i="27"/>
  <c r="J436" i="27"/>
  <c r="K436" i="27"/>
  <c r="L436" i="27"/>
  <c r="M436" i="27"/>
  <c r="N436" i="27"/>
  <c r="O436" i="27"/>
  <c r="P436" i="27"/>
  <c r="Q436" i="27"/>
  <c r="S436" i="27"/>
  <c r="D437" i="27"/>
  <c r="R437" i="27"/>
  <c r="D438" i="27"/>
  <c r="R438" i="27" s="1"/>
  <c r="R436" i="27" s="1"/>
  <c r="D439" i="27"/>
  <c r="R439" i="27"/>
  <c r="E440" i="27"/>
  <c r="F440" i="27"/>
  <c r="G440" i="27"/>
  <c r="H440" i="27"/>
  <c r="I440" i="27"/>
  <c r="J440" i="27"/>
  <c r="K440" i="27"/>
  <c r="L440" i="27"/>
  <c r="M440" i="27"/>
  <c r="N440" i="27"/>
  <c r="O440" i="27"/>
  <c r="P440" i="27"/>
  <c r="Q440" i="27"/>
  <c r="S440" i="27"/>
  <c r="T440" i="27"/>
  <c r="C441" i="27"/>
  <c r="C440" i="27"/>
  <c r="D441" i="27"/>
  <c r="D440" i="27"/>
  <c r="E442" i="27"/>
  <c r="F442" i="27"/>
  <c r="G442" i="27"/>
  <c r="H442" i="27"/>
  <c r="I442" i="27"/>
  <c r="J442" i="27"/>
  <c r="K442" i="27"/>
  <c r="L442" i="27"/>
  <c r="M442" i="27"/>
  <c r="N442" i="27"/>
  <c r="O442" i="27"/>
  <c r="P442" i="27"/>
  <c r="Q442" i="27"/>
  <c r="S442" i="27"/>
  <c r="T442" i="27"/>
  <c r="C443" i="27"/>
  <c r="D443" i="27"/>
  <c r="R443" i="27"/>
  <c r="C444" i="27"/>
  <c r="D444" i="27"/>
  <c r="R444" i="27" s="1"/>
  <c r="C11" i="24"/>
  <c r="E11" i="24" s="1"/>
  <c r="C12" i="24"/>
  <c r="E12" i="24"/>
  <c r="C13" i="24"/>
  <c r="E13" i="24"/>
  <c r="C14" i="24"/>
  <c r="C9" i="24" s="1"/>
  <c r="C10" i="24" s="1"/>
  <c r="C15" i="24"/>
  <c r="E15" i="24" s="1"/>
  <c r="C16" i="24"/>
  <c r="E16" i="24"/>
  <c r="C17" i="24"/>
  <c r="E17" i="24"/>
  <c r="C18" i="24"/>
  <c r="E18" i="24"/>
  <c r="C19" i="24"/>
  <c r="E19" i="24" s="1"/>
  <c r="C20" i="24"/>
  <c r="E20" i="24"/>
  <c r="C21" i="24"/>
  <c r="E21" i="24"/>
  <c r="C22" i="24"/>
  <c r="E22" i="24" s="1"/>
  <c r="C23" i="24"/>
  <c r="E23" i="24" s="1"/>
  <c r="C24" i="24"/>
  <c r="E24" i="24"/>
  <c r="C25" i="24"/>
  <c r="E25" i="24"/>
  <c r="D26" i="24"/>
  <c r="D9" i="24"/>
  <c r="C27" i="24"/>
  <c r="E27" i="24" s="1"/>
  <c r="C28" i="24"/>
  <c r="E28" i="24"/>
  <c r="C29" i="24"/>
  <c r="E29" i="24" s="1"/>
  <c r="D30" i="24"/>
  <c r="C31" i="24"/>
  <c r="C32" i="24"/>
  <c r="C33" i="24"/>
  <c r="C34" i="24"/>
  <c r="C35" i="24"/>
  <c r="C36" i="24"/>
  <c r="C38" i="24"/>
  <c r="C39" i="24"/>
  <c r="C37" i="24" s="1"/>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80" i="24"/>
  <c r="C81" i="24"/>
  <c r="C82" i="24"/>
  <c r="C83" i="24"/>
  <c r="C84" i="24"/>
  <c r="C86" i="24"/>
  <c r="C87" i="24"/>
  <c r="C89" i="24"/>
  <c r="A3" i="31"/>
  <c r="D8" i="31"/>
  <c r="E8" i="31"/>
  <c r="F8" i="31"/>
  <c r="G8" i="31"/>
  <c r="H8" i="31"/>
  <c r="I8" i="31"/>
  <c r="J8" i="31"/>
  <c r="C9" i="31"/>
  <c r="C10" i="31"/>
  <c r="C11" i="31"/>
  <c r="C12" i="31"/>
  <c r="C13" i="31"/>
  <c r="C14" i="31"/>
  <c r="C15" i="31"/>
  <c r="C16" i="31"/>
  <c r="C17" i="31"/>
  <c r="C18" i="31"/>
  <c r="H23" i="31"/>
  <c r="I23" i="31"/>
  <c r="H28" i="31"/>
  <c r="I28" i="31"/>
  <c r="J28" i="31"/>
  <c r="A4" i="11"/>
  <c r="D13" i="11"/>
  <c r="F13" i="11"/>
  <c r="G13" i="11"/>
  <c r="H13" i="11"/>
  <c r="AJ13" i="11" s="1"/>
  <c r="I13" i="11"/>
  <c r="J13" i="11"/>
  <c r="E14" i="11"/>
  <c r="O14" i="11"/>
  <c r="O13" i="11" s="1"/>
  <c r="AA14" i="11"/>
  <c r="E15" i="11"/>
  <c r="C15" i="11"/>
  <c r="O15" i="11"/>
  <c r="U15" i="11"/>
  <c r="U13" i="11" s="1"/>
  <c r="V15" i="11"/>
  <c r="V13" i="11" s="1"/>
  <c r="N15" i="11"/>
  <c r="W15" i="11" s="1"/>
  <c r="Y15" i="11" s="1"/>
  <c r="R15" i="11" s="1"/>
  <c r="P15" i="11" s="1"/>
  <c r="AA15" i="11"/>
  <c r="AF15" i="11"/>
  <c r="E16" i="11"/>
  <c r="C16" i="11"/>
  <c r="AF16" i="11"/>
  <c r="O16" i="11"/>
  <c r="V16" i="11"/>
  <c r="N16" i="11"/>
  <c r="W16" i="11" s="1"/>
  <c r="Y16" i="11" s="1"/>
  <c r="R16" i="11" s="1"/>
  <c r="P16" i="11" s="1"/>
  <c r="AA16" i="11"/>
  <c r="E17" i="11"/>
  <c r="C17" i="11" s="1"/>
  <c r="O17" i="11"/>
  <c r="U17" i="11"/>
  <c r="V17" i="11"/>
  <c r="N17" i="11"/>
  <c r="AA17" i="11"/>
  <c r="E18" i="11"/>
  <c r="C18" i="11"/>
  <c r="O18" i="11"/>
  <c r="U18" i="11"/>
  <c r="N18" i="11"/>
  <c r="AA18" i="11"/>
  <c r="AC18" i="11" s="1"/>
  <c r="AF18" i="11"/>
  <c r="E19" i="11"/>
  <c r="C19" i="11" s="1"/>
  <c r="O19" i="11"/>
  <c r="U19" i="11"/>
  <c r="V19" i="11"/>
  <c r="N19" i="11" s="1"/>
  <c r="AA19" i="11"/>
  <c r="E20" i="11"/>
  <c r="C20" i="11" s="1"/>
  <c r="O20" i="11"/>
  <c r="U20" i="11"/>
  <c r="AA20" i="11"/>
  <c r="AF20" i="11"/>
  <c r="E21" i="11"/>
  <c r="C21" i="11"/>
  <c r="AF21" i="11"/>
  <c r="O21" i="11"/>
  <c r="U21" i="11"/>
  <c r="V21" i="11"/>
  <c r="N21" i="11" s="1"/>
  <c r="AA21" i="11"/>
  <c r="C22" i="11"/>
  <c r="E22" i="11"/>
  <c r="AF22" i="11"/>
  <c r="O22" i="11"/>
  <c r="U22" i="11"/>
  <c r="V22" i="11"/>
  <c r="N22" i="11"/>
  <c r="AA22" i="11"/>
  <c r="E23" i="11"/>
  <c r="C23" i="11" s="1"/>
  <c r="O23" i="11"/>
  <c r="U23" i="11"/>
  <c r="AA23" i="11"/>
  <c r="AF23" i="11"/>
  <c r="S13" i="11"/>
  <c r="AK13" i="11" s="1"/>
  <c r="V23" i="11"/>
  <c r="N23" i="11" s="1"/>
  <c r="W23" i="11" s="1"/>
  <c r="Y23" i="11" s="1"/>
  <c r="R23" i="11" s="1"/>
  <c r="P23" i="11" s="1"/>
  <c r="V20" i="11"/>
  <c r="N20" i="11" s="1"/>
  <c r="C14" i="11"/>
  <c r="AF19" i="11"/>
  <c r="AF17" i="11"/>
  <c r="M13" i="11"/>
  <c r="AF13" i="11"/>
  <c r="D117" i="27"/>
  <c r="I227" i="27"/>
  <c r="R403" i="27"/>
  <c r="I246" i="27"/>
  <c r="I238" i="27"/>
  <c r="E60" i="27"/>
  <c r="E59" i="27" s="1"/>
  <c r="N299" i="27"/>
  <c r="D197" i="27"/>
  <c r="D182" i="27"/>
  <c r="C11" i="22"/>
  <c r="I237" i="27"/>
  <c r="I225" i="27" s="1"/>
  <c r="D185" i="27"/>
  <c r="D59" i="27"/>
  <c r="D288" i="27"/>
  <c r="C245" i="27"/>
  <c r="E85" i="27"/>
  <c r="C13" i="27"/>
  <c r="D10" i="27"/>
  <c r="D237" i="27"/>
  <c r="D442" i="27"/>
  <c r="C442" i="27"/>
  <c r="C301" i="27"/>
  <c r="C182" i="27"/>
  <c r="C154" i="27"/>
  <c r="C140" i="27" s="1"/>
  <c r="I226" i="27"/>
  <c r="C197" i="27"/>
  <c r="D135" i="27"/>
  <c r="K293" i="27"/>
  <c r="R441" i="27"/>
  <c r="R440" i="27"/>
  <c r="D297" i="27"/>
  <c r="I245" i="27"/>
  <c r="C237" i="27"/>
  <c r="C226" i="27"/>
  <c r="F187" i="27"/>
  <c r="E61" i="27"/>
  <c r="C59" i="27"/>
  <c r="C19" i="27" s="1"/>
  <c r="C20" i="27"/>
  <c r="J277" i="27"/>
  <c r="C225" i="27"/>
  <c r="C196" i="27" s="1"/>
  <c r="I197" i="27"/>
  <c r="D85" i="27"/>
  <c r="D245" i="27"/>
  <c r="D226" i="27"/>
  <c r="D225" i="27" s="1"/>
  <c r="D13" i="27"/>
  <c r="R412" i="27"/>
  <c r="J289" i="27"/>
  <c r="J288" i="27" s="1"/>
  <c r="D274" i="27"/>
  <c r="AD23" i="11"/>
  <c r="AC22" i="11"/>
  <c r="Z22" i="11" s="1"/>
  <c r="W22" i="11" s="1"/>
  <c r="Y22" i="11" s="1"/>
  <c r="R22" i="11" s="1"/>
  <c r="P22" i="11" s="1"/>
  <c r="AD21" i="11"/>
  <c r="AD20" i="11"/>
  <c r="AD19" i="11"/>
  <c r="AD18" i="11"/>
  <c r="Z18" i="11" s="1"/>
  <c r="W18" i="11" s="1"/>
  <c r="Y18" i="11" s="1"/>
  <c r="R18" i="11" s="1"/>
  <c r="P18" i="11" s="1"/>
  <c r="AD15" i="11"/>
  <c r="AD17" i="11"/>
  <c r="AD22" i="11"/>
  <c r="AC23" i="11"/>
  <c r="Z23" i="11"/>
  <c r="C26" i="24"/>
  <c r="E26" i="24" s="1"/>
  <c r="J14" i="25"/>
  <c r="J6" i="25"/>
  <c r="H6" i="25"/>
  <c r="R429" i="27"/>
  <c r="R428" i="27" s="1"/>
  <c r="J286" i="27"/>
  <c r="J285" i="27"/>
  <c r="J274" i="27" s="1"/>
  <c r="J13" i="27"/>
  <c r="D254" i="27"/>
  <c r="F6" i="25"/>
  <c r="AC16" i="11"/>
  <c r="Z16" i="11" s="1"/>
  <c r="AB19" i="11"/>
  <c r="AC19" i="11" s="1"/>
  <c r="Z19" i="11" s="1"/>
  <c r="AC17" i="11"/>
  <c r="AB14" i="11"/>
  <c r="AC14" i="11" s="1"/>
  <c r="AB13" i="11"/>
  <c r="AC15" i="11"/>
  <c r="Z15" i="11"/>
  <c r="AC20" i="11"/>
  <c r="AD14" i="11"/>
  <c r="AD13" i="11" s="1"/>
  <c r="Z20" i="11"/>
  <c r="W20" i="11" s="1"/>
  <c r="Y20" i="11" s="1"/>
  <c r="R20" i="11" s="1"/>
  <c r="P20" i="11" s="1"/>
  <c r="L15" i="11" l="1"/>
  <c r="AG15" i="11"/>
  <c r="AI15" i="11" s="1"/>
  <c r="F10" i="13"/>
  <c r="C13" i="11"/>
  <c r="L16" i="11"/>
  <c r="F11" i="13"/>
  <c r="AG16" i="11"/>
  <c r="AI16" i="11" s="1"/>
  <c r="D314" i="27"/>
  <c r="L23" i="11"/>
  <c r="F18" i="13"/>
  <c r="AG23" i="11"/>
  <c r="AI23" i="11" s="1"/>
  <c r="L20" i="11"/>
  <c r="F15" i="13"/>
  <c r="AG20" i="11"/>
  <c r="AI20" i="11" s="1"/>
  <c r="AG18" i="11"/>
  <c r="AI18" i="11" s="1"/>
  <c r="F13" i="13"/>
  <c r="L18" i="11"/>
  <c r="AG22" i="11"/>
  <c r="AI22" i="11" s="1"/>
  <c r="F17" i="13"/>
  <c r="L22" i="11"/>
  <c r="C18" i="27"/>
  <c r="C9" i="27" s="1"/>
  <c r="N297" i="27"/>
  <c r="P9" i="27"/>
  <c r="G4" i="24"/>
  <c r="D423" i="27"/>
  <c r="Z17" i="11"/>
  <c r="W17" i="11" s="1"/>
  <c r="E13" i="11"/>
  <c r="R442" i="27"/>
  <c r="R431" i="27"/>
  <c r="R430" i="27" s="1"/>
  <c r="D430" i="27"/>
  <c r="M399" i="27"/>
  <c r="E399" i="27"/>
  <c r="Q336" i="27"/>
  <c r="C315" i="27"/>
  <c r="C314" i="27" s="1"/>
  <c r="L296" i="27"/>
  <c r="L294" i="27" s="1"/>
  <c r="D294" i="27"/>
  <c r="C274" i="27"/>
  <c r="I265" i="27"/>
  <c r="I259" i="27" s="1"/>
  <c r="I196" i="27" s="1"/>
  <c r="D259" i="27"/>
  <c r="D1" i="24"/>
  <c r="AC21" i="11"/>
  <c r="AC13" i="11" s="1"/>
  <c r="Q361" i="27"/>
  <c r="Q360" i="27" s="1"/>
  <c r="D360" i="27"/>
  <c r="D436" i="27"/>
  <c r="C400" i="27"/>
  <c r="C399" i="27" s="1"/>
  <c r="L399" i="27"/>
  <c r="C277" i="27"/>
  <c r="F185" i="27"/>
  <c r="E165" i="27"/>
  <c r="E154" i="27" s="1"/>
  <c r="D154" i="27"/>
  <c r="D140" i="27" s="1"/>
  <c r="E19" i="27"/>
  <c r="E18" i="27" s="1"/>
  <c r="E9" i="27" s="1"/>
  <c r="O9" i="27"/>
  <c r="C30" i="24"/>
  <c r="D411" i="27"/>
  <c r="S399" i="27"/>
  <c r="J399" i="27"/>
  <c r="Q315" i="27"/>
  <c r="C8" i="24"/>
  <c r="E4" i="24"/>
  <c r="D301" i="27"/>
  <c r="N303" i="27"/>
  <c r="N301" i="27" s="1"/>
  <c r="D8" i="24"/>
  <c r="Q399" i="27"/>
  <c r="I399" i="27"/>
  <c r="Q274" i="27"/>
  <c r="H274" i="27"/>
  <c r="S18" i="27"/>
  <c r="D10" i="24"/>
  <c r="D400" i="27"/>
  <c r="D421" i="27"/>
  <c r="W19" i="11"/>
  <c r="Y19" i="11" s="1"/>
  <c r="R19" i="11" s="1"/>
  <c r="P19" i="11" s="1"/>
  <c r="AA13" i="11"/>
  <c r="Z14" i="11"/>
  <c r="R423" i="27"/>
  <c r="Q370" i="27"/>
  <c r="G11" i="24"/>
  <c r="H11" i="24" s="1"/>
  <c r="N13" i="11"/>
  <c r="R411" i="27"/>
  <c r="R399" i="27" s="1"/>
  <c r="D370" i="27"/>
  <c r="C8" i="31"/>
  <c r="E14" i="24"/>
  <c r="E9" i="24" s="1"/>
  <c r="R433" i="27"/>
  <c r="R432" i="27" s="1"/>
  <c r="D432" i="27"/>
  <c r="P399" i="27"/>
  <c r="H399" i="27"/>
  <c r="O274" i="27"/>
  <c r="F274" i="27"/>
  <c r="E140" i="27"/>
  <c r="C10" i="23"/>
  <c r="C4" i="23" s="1"/>
  <c r="L16" i="23"/>
  <c r="W16" i="23"/>
  <c r="U16" i="23" s="1"/>
  <c r="D8" i="17"/>
  <c r="E9" i="17"/>
  <c r="AC19" i="23"/>
  <c r="R19" i="23" s="1"/>
  <c r="AM19" i="23" s="1"/>
  <c r="C16" i="23"/>
  <c r="C18" i="22"/>
  <c r="AB12" i="23"/>
  <c r="H21" i="22"/>
  <c r="E12" i="21"/>
  <c r="H19" i="21"/>
  <c r="H14" i="21"/>
  <c r="AF15" i="23" s="1"/>
  <c r="E10" i="17"/>
  <c r="C9" i="17"/>
  <c r="D257" i="27"/>
  <c r="D196" i="27" s="1"/>
  <c r="P196" i="27"/>
  <c r="G196" i="27"/>
  <c r="M19" i="27"/>
  <c r="M18" i="27" s="1"/>
  <c r="M9" i="27" s="1"/>
  <c r="C19" i="23"/>
  <c r="P13" i="23"/>
  <c r="H10" i="23"/>
  <c r="D20" i="27"/>
  <c r="D19" i="27" s="1"/>
  <c r="Q196" i="27"/>
  <c r="H196" i="27"/>
  <c r="H9" i="27" s="1"/>
  <c r="R19" i="27"/>
  <c r="R18" i="27" s="1"/>
  <c r="J19" i="27"/>
  <c r="J18" i="27" s="1"/>
  <c r="J9" i="27" s="1"/>
  <c r="T19" i="27"/>
  <c r="L19" i="27"/>
  <c r="W14" i="23"/>
  <c r="L14" i="23"/>
  <c r="C21" i="22"/>
  <c r="C22" i="22" s="1"/>
  <c r="J14" i="21"/>
  <c r="AF13" i="23" s="1"/>
  <c r="N6" i="21"/>
  <c r="F6" i="21"/>
  <c r="N196" i="27"/>
  <c r="E196" i="27"/>
  <c r="K18" i="27"/>
  <c r="S9" i="27"/>
  <c r="K19" i="23"/>
  <c r="AK19" i="23" s="1"/>
  <c r="AL19" i="23"/>
  <c r="L17" i="23"/>
  <c r="W17" i="23"/>
  <c r="P10" i="23"/>
  <c r="M10" i="21"/>
  <c r="V17" i="23" s="1"/>
  <c r="U17" i="23" s="1"/>
  <c r="M14" i="21"/>
  <c r="AF17" i="23" s="1"/>
  <c r="E11" i="21"/>
  <c r="L24" i="23"/>
  <c r="AL20" i="23"/>
  <c r="K20" i="23"/>
  <c r="AK20" i="23" s="1"/>
  <c r="W19" i="23"/>
  <c r="Z21" i="23"/>
  <c r="AC18" i="23"/>
  <c r="R18" i="23" s="1"/>
  <c r="AM18" i="23" s="1"/>
  <c r="W15" i="23"/>
  <c r="L15" i="23"/>
  <c r="AC10" i="23"/>
  <c r="R11" i="23"/>
  <c r="AF12" i="23"/>
  <c r="AF10" i="23" s="1"/>
  <c r="L10" i="21"/>
  <c r="V19" i="23" s="1"/>
  <c r="U19" i="23" s="1"/>
  <c r="U14" i="23"/>
  <c r="T196" i="27"/>
  <c r="L196" i="27"/>
  <c r="Q18" i="27"/>
  <c r="I18" i="27"/>
  <c r="X18" i="23"/>
  <c r="AB21" i="23"/>
  <c r="L13" i="23"/>
  <c r="W13" i="23"/>
  <c r="U13" i="23" s="1"/>
  <c r="AG10" i="23"/>
  <c r="H9" i="21"/>
  <c r="H6" i="21" s="1"/>
  <c r="M196" i="27"/>
  <c r="S196" i="27"/>
  <c r="K196" i="27"/>
  <c r="T140" i="27"/>
  <c r="L140" i="27"/>
  <c r="N18" i="27"/>
  <c r="F18" i="27"/>
  <c r="F9" i="27" s="1"/>
  <c r="G9" i="27"/>
  <c r="W11" i="23"/>
  <c r="U11" i="23" s="1"/>
  <c r="L11" i="23"/>
  <c r="AE10" i="23"/>
  <c r="E90" i="21"/>
  <c r="L9" i="21"/>
  <c r="L6" i="21" s="1"/>
  <c r="N15" i="21"/>
  <c r="E15" i="21" s="1"/>
  <c r="E51" i="21"/>
  <c r="H10" i="21"/>
  <c r="V15" i="23" s="1"/>
  <c r="U15" i="23" s="1"/>
  <c r="Q17" i="23"/>
  <c r="Q10" i="23" s="1"/>
  <c r="K21" i="22"/>
  <c r="K19" i="21"/>
  <c r="N14" i="21"/>
  <c r="AF18" i="23" s="1"/>
  <c r="O10" i="21"/>
  <c r="V20" i="23" s="1"/>
  <c r="U20" i="23" s="1"/>
  <c r="G10" i="21"/>
  <c r="V12" i="23" s="1"/>
  <c r="K12" i="16"/>
  <c r="K28" i="16" s="1"/>
  <c r="Z10" i="23"/>
  <c r="C14" i="23"/>
  <c r="E24" i="21"/>
  <c r="E9" i="21" s="1"/>
  <c r="E6" i="21" s="1"/>
  <c r="J17" i="21"/>
  <c r="AD13" i="23" s="1"/>
  <c r="Y17" i="11" l="1"/>
  <c r="R17" i="11" s="1"/>
  <c r="P17" i="11" s="1"/>
  <c r="V26" i="11"/>
  <c r="I9" i="27"/>
  <c r="W14" i="11"/>
  <c r="K15" i="23"/>
  <c r="AK15" i="23" s="1"/>
  <c r="AL15" i="23"/>
  <c r="E10" i="21"/>
  <c r="E4" i="21" s="1"/>
  <c r="E19" i="21"/>
  <c r="AL14" i="23"/>
  <c r="K14" i="23"/>
  <c r="AK14" i="23" s="1"/>
  <c r="D18" i="27"/>
  <c r="D9" i="27" s="1"/>
  <c r="B4" i="24"/>
  <c r="C2" i="24"/>
  <c r="D2" i="24" s="1"/>
  <c r="D6" i="24"/>
  <c r="C4" i="24"/>
  <c r="R10" i="23"/>
  <c r="AM11" i="23"/>
  <c r="N9" i="27"/>
  <c r="K9" i="27"/>
  <c r="X12" i="23"/>
  <c r="AB10" i="23"/>
  <c r="F14" i="13"/>
  <c r="L19" i="11"/>
  <c r="AG19" i="11"/>
  <c r="AI19" i="11" s="1"/>
  <c r="Q314" i="27"/>
  <c r="Q9" i="27" s="1"/>
  <c r="Z21" i="11"/>
  <c r="W21" i="11" s="1"/>
  <c r="Y21" i="11" s="1"/>
  <c r="R21" i="11" s="1"/>
  <c r="P21" i="11" s="1"/>
  <c r="AE16" i="11"/>
  <c r="E11" i="13"/>
  <c r="C11" i="13" s="1"/>
  <c r="J13" i="23" s="1"/>
  <c r="E10" i="24"/>
  <c r="K11" i="23"/>
  <c r="AK11" i="23" s="1"/>
  <c r="AL11" i="23"/>
  <c r="K13" i="23"/>
  <c r="AK13" i="23" s="1"/>
  <c r="AL13" i="23"/>
  <c r="L18" i="27"/>
  <c r="L9" i="27" s="1"/>
  <c r="F8" i="17"/>
  <c r="F7" i="17" s="1"/>
  <c r="C8" i="17"/>
  <c r="E8" i="17" s="1"/>
  <c r="C29" i="22"/>
  <c r="C30" i="22"/>
  <c r="E17" i="13"/>
  <c r="C17" i="13" s="1"/>
  <c r="J19" i="23" s="1"/>
  <c r="AE22" i="11"/>
  <c r="AE20" i="11"/>
  <c r="E15" i="13"/>
  <c r="C15" i="13" s="1"/>
  <c r="J17" i="23" s="1"/>
  <c r="W21" i="23"/>
  <c r="T18" i="27"/>
  <c r="T9" i="27" s="1"/>
  <c r="D399" i="27"/>
  <c r="E8" i="24"/>
  <c r="K16" i="23"/>
  <c r="AK16" i="23" s="1"/>
  <c r="AL16" i="23"/>
  <c r="W18" i="23"/>
  <c r="L18" i="23"/>
  <c r="C1" i="24"/>
  <c r="D5" i="24"/>
  <c r="C5" i="24"/>
  <c r="D4" i="24"/>
  <c r="E1" i="24"/>
  <c r="N10" i="21"/>
  <c r="V18" i="23" s="1"/>
  <c r="U18" i="23" s="1"/>
  <c r="N17" i="21"/>
  <c r="AD18" i="23" s="1"/>
  <c r="AD10" i="23" s="1"/>
  <c r="Y4" i="23" s="1"/>
  <c r="E10" i="13"/>
  <c r="C10" i="13" s="1"/>
  <c r="J12" i="23" s="1"/>
  <c r="AE15" i="11"/>
  <c r="E14" i="21"/>
  <c r="L23" i="23"/>
  <c r="L27" i="23" s="1"/>
  <c r="K17" i="23"/>
  <c r="AK17" i="23" s="1"/>
  <c r="AL17" i="23"/>
  <c r="R9" i="27"/>
  <c r="E30" i="24"/>
  <c r="E2" i="24" s="1"/>
  <c r="G32" i="24"/>
  <c r="F32" i="24"/>
  <c r="C79" i="24"/>
  <c r="C85" i="24" s="1"/>
  <c r="C88" i="24" s="1"/>
  <c r="C90" i="24" s="1"/>
  <c r="C6" i="24"/>
  <c r="E13" i="13"/>
  <c r="C13" i="13" s="1"/>
  <c r="J15" i="23" s="1"/>
  <c r="AE18" i="11"/>
  <c r="AE23" i="11"/>
  <c r="E18" i="13"/>
  <c r="C18" i="13" s="1"/>
  <c r="J20" i="23" s="1"/>
  <c r="AG21" i="11" l="1"/>
  <c r="AI21" i="11" s="1"/>
  <c r="L21" i="11"/>
  <c r="F16" i="13"/>
  <c r="Z13" i="11"/>
  <c r="AO13" i="11" s="1"/>
  <c r="W13" i="11"/>
  <c r="Y14" i="11"/>
  <c r="AE19" i="11"/>
  <c r="E14" i="13"/>
  <c r="C14" i="13" s="1"/>
  <c r="J16" i="23" s="1"/>
  <c r="F12" i="13"/>
  <c r="AG17" i="11"/>
  <c r="AI17" i="11" s="1"/>
  <c r="L17" i="11"/>
  <c r="K18" i="23"/>
  <c r="AK18" i="23" s="1"/>
  <c r="AL18" i="23"/>
  <c r="AM10" i="23"/>
  <c r="R21" i="23"/>
  <c r="E17" i="21"/>
  <c r="E6" i="24"/>
  <c r="V10" i="23"/>
  <c r="Z4" i="23" s="1"/>
  <c r="W12" i="23"/>
  <c r="L12" i="23"/>
  <c r="X10" i="23"/>
  <c r="W10" i="23" l="1"/>
  <c r="U12" i="23"/>
  <c r="U10" i="23" s="1"/>
  <c r="E16" i="13"/>
  <c r="C16" i="13" s="1"/>
  <c r="J18" i="23" s="1"/>
  <c r="AE21" i="11"/>
  <c r="Y13" i="11"/>
  <c r="R14" i="11"/>
  <c r="AL12" i="23"/>
  <c r="K12" i="23"/>
  <c r="AK12" i="23" s="1"/>
  <c r="L10" i="23"/>
  <c r="E12" i="13"/>
  <c r="C12" i="13" s="1"/>
  <c r="J14" i="23" s="1"/>
  <c r="AE17" i="11"/>
  <c r="P14" i="11" l="1"/>
  <c r="R13" i="11"/>
  <c r="AI13" i="11" s="1"/>
  <c r="K10" i="23"/>
  <c r="L21" i="23"/>
  <c r="AL10" i="23"/>
  <c r="N21" i="23"/>
  <c r="N22" i="23" s="1"/>
  <c r="S21" i="23"/>
  <c r="K22" i="23" l="1"/>
  <c r="AK10" i="23"/>
  <c r="P13" i="11"/>
  <c r="F9" i="13"/>
  <c r="F8" i="13" s="1"/>
  <c r="L14" i="11"/>
  <c r="AG14" i="11"/>
  <c r="AI14" i="11" s="1"/>
  <c r="AE14" i="11" l="1"/>
  <c r="E9" i="13"/>
  <c r="L13" i="11"/>
  <c r="AE13" i="11" s="1"/>
  <c r="P11" i="11"/>
  <c r="AG13" i="11"/>
  <c r="E8" i="13" l="1"/>
  <c r="C9" i="13"/>
  <c r="C8" i="13" l="1"/>
  <c r="J10" i="23" s="1"/>
  <c r="J11" i="23"/>
</calcChain>
</file>

<file path=xl/comments1.xml><?xml version="1.0" encoding="utf-8"?>
<comments xmlns="http://schemas.openxmlformats.org/spreadsheetml/2006/main">
  <authors>
    <author>ADMIN</author>
    <author>minjak</author>
    <author>Carcassonno</author>
    <author>Admin</author>
  </authors>
  <commentList>
    <comment ref="G18" authorId="0" shapeId="0">
      <text>
        <r>
          <rPr>
            <b/>
            <sz val="9"/>
            <color indexed="81"/>
            <rFont val="Tahoma"/>
            <family val="2"/>
          </rPr>
          <t>ADMIN:</t>
        </r>
        <r>
          <rPr>
            <sz val="9"/>
            <color indexed="81"/>
            <rFont val="Tahoma"/>
            <family val="2"/>
          </rPr>
          <t xml:space="preserve">
bs vốn điều lệ cho ct xskt- qđ 3824</t>
        </r>
      </text>
    </comment>
    <comment ref="H19" authorId="1" shapeId="0">
      <text>
        <r>
          <rPr>
            <b/>
            <sz val="9"/>
            <color indexed="81"/>
            <rFont val="Tahoma"/>
            <family val="2"/>
          </rPr>
          <t>số TABMIS</t>
        </r>
      </text>
    </comment>
    <comment ref="H20" authorId="1" shapeId="0">
      <text>
        <r>
          <rPr>
            <b/>
            <sz val="9"/>
            <color indexed="81"/>
            <rFont val="Tahoma"/>
            <family val="2"/>
          </rPr>
          <t>số TABMIS: NS tỉnh đối ứng CTMT QG NTM từ nguồn xskt</t>
        </r>
      </text>
    </comment>
    <comment ref="G21" authorId="0" shapeId="0">
      <text>
        <r>
          <rPr>
            <b/>
            <sz val="9"/>
            <color indexed="81"/>
            <rFont val="Tahoma"/>
            <family val="2"/>
          </rPr>
          <t>ADMIN:</t>
        </r>
        <r>
          <rPr>
            <sz val="9"/>
            <color indexed="81"/>
            <rFont val="Tahoma"/>
            <family val="2"/>
          </rPr>
          <t xml:space="preserve">
lấy theo số phân bổ- từ chi tập trung: QĐ 2322, 3821, 3822</t>
        </r>
      </text>
    </comment>
    <comment ref="G33" authorId="2" shapeId="0">
      <text>
        <r>
          <rPr>
            <b/>
            <sz val="9"/>
            <color indexed="81"/>
            <rFont val="Tahoma"/>
            <family val="2"/>
          </rPr>
          <t>Carcassonno:</t>
        </r>
        <r>
          <rPr>
            <sz val="9"/>
            <color indexed="81"/>
            <rFont val="Tahoma"/>
            <family val="2"/>
          </rPr>
          <t xml:space="preserve">
trư tạm</t>
        </r>
      </text>
    </comment>
    <comment ref="H51" authorId="1" shapeId="0">
      <text>
        <r>
          <rPr>
            <b/>
            <sz val="9"/>
            <color indexed="81"/>
            <rFont val="Tahoma"/>
            <family val="2"/>
          </rPr>
          <t>tạm lấy tổng TX -BSCMT huyện</t>
        </r>
      </text>
    </comment>
    <comment ref="H67" authorId="3" shapeId="0">
      <text>
        <r>
          <rPr>
            <b/>
            <sz val="9"/>
            <color indexed="81"/>
            <rFont val="Tahoma"/>
            <family val="2"/>
          </rPr>
          <t>mã CT 629- ktra lại các huyện, TAB: 941,2</t>
        </r>
      </text>
    </comment>
  </commentList>
</comments>
</file>

<file path=xl/comments2.xml><?xml version="1.0" encoding="utf-8"?>
<comments xmlns="http://schemas.openxmlformats.org/spreadsheetml/2006/main">
  <authors>
    <author>Administrator</author>
    <author>Welcome</author>
    <author>Admin</author>
  </authors>
  <commentList>
    <comment ref="K10" authorId="0" shapeId="0">
      <text>
        <r>
          <rPr>
            <b/>
            <sz val="9"/>
            <color indexed="81"/>
            <rFont val="Tahoma"/>
            <family val="2"/>
          </rPr>
          <t>Administrator:</t>
        </r>
        <r>
          <rPr>
            <sz val="9"/>
            <color indexed="81"/>
            <rFont val="Tahoma"/>
            <family val="2"/>
          </rPr>
          <t xml:space="preserve">
Lệch 70800đ là do anh Tại rút tròn số</t>
        </r>
      </text>
    </comment>
    <comment ref="E13" authorId="0" shapeId="0">
      <text>
        <r>
          <rPr>
            <b/>
            <sz val="9"/>
            <color indexed="81"/>
            <rFont val="Tahoma"/>
            <family val="2"/>
          </rPr>
          <t>Administrator:</t>
        </r>
        <r>
          <rPr>
            <sz val="9"/>
            <color indexed="81"/>
            <rFont val="Tahoma"/>
            <family val="2"/>
          </rPr>
          <t xml:space="preserve">
tăng do điều chỉnh dự toán Đoàn ĐB quốc hội</t>
        </r>
      </text>
    </comment>
    <comment ref="E18" authorId="1" shapeId="0">
      <text>
        <r>
          <rPr>
            <b/>
            <sz val="9"/>
            <color indexed="81"/>
            <rFont val="Tahoma"/>
            <family val="2"/>
          </rPr>
          <t>Welcome:</t>
        </r>
        <r>
          <rPr>
            <sz val="9"/>
            <color indexed="81"/>
            <rFont val="Tahoma"/>
            <family val="2"/>
          </rPr>
          <t xml:space="preserve">
đã PB  cho Thanh tra giao thông: 1.880 trđ</t>
        </r>
      </text>
    </comment>
    <comment ref="I22" authorId="2" shapeId="0">
      <text>
        <r>
          <rPr>
            <b/>
            <sz val="9"/>
            <color indexed="81"/>
            <rFont val="Tahoma"/>
            <family val="2"/>
          </rPr>
          <t>Admin:</t>
        </r>
        <r>
          <rPr>
            <sz val="9"/>
            <color indexed="81"/>
            <rFont val="Tahoma"/>
            <family val="2"/>
          </rPr>
          <t xml:space="preserve">
Thu hồi qua thanh tra</t>
        </r>
      </text>
    </comment>
    <comment ref="E24" authorId="1" shapeId="0">
      <text>
        <r>
          <rPr>
            <b/>
            <sz val="9"/>
            <color indexed="81"/>
            <rFont val="Tahoma"/>
            <family val="2"/>
          </rPr>
          <t>Welcome:</t>
        </r>
        <r>
          <rPr>
            <sz val="9"/>
            <color indexed="81"/>
            <rFont val="Tahoma"/>
            <family val="2"/>
          </rPr>
          <t xml:space="preserve">
Dự toán 5.409 trđ?</t>
        </r>
      </text>
    </comment>
    <comment ref="H25" authorId="0" shapeId="0">
      <text>
        <r>
          <rPr>
            <b/>
            <sz val="9"/>
            <color indexed="81"/>
            <rFont val="Tahoma"/>
            <family val="2"/>
          </rPr>
          <t>Administrator:</t>
        </r>
        <r>
          <rPr>
            <sz val="9"/>
            <color indexed="81"/>
            <rFont val="Tahoma"/>
            <family val="2"/>
          </rPr>
          <t xml:space="preserve">
KP thực hiện công tác quan hệ biên giới VN-Lào</t>
        </r>
      </text>
    </comment>
    <comment ref="J31" authorId="0" shapeId="0">
      <text>
        <r>
          <rPr>
            <b/>
            <sz val="9"/>
            <color indexed="81"/>
            <rFont val="Tahoma"/>
            <family val="2"/>
          </rPr>
          <t>Administrator:</t>
        </r>
        <r>
          <rPr>
            <sz val="9"/>
            <color indexed="81"/>
            <rFont val="Tahoma"/>
            <family val="2"/>
          </rPr>
          <t xml:space="preserve">
ddieu chinh tu Chi cuc TC ĐLCL qua</t>
        </r>
      </text>
    </comment>
    <comment ref="L32" authorId="0" shapeId="0">
      <text>
        <r>
          <rPr>
            <b/>
            <sz val="9"/>
            <color indexed="81"/>
            <rFont val="Tahoma"/>
            <family val="2"/>
          </rPr>
          <t>Administrator:</t>
        </r>
        <r>
          <rPr>
            <sz val="9"/>
            <color indexed="81"/>
            <rFont val="Tahoma"/>
            <family val="2"/>
          </rPr>
          <t xml:space="preserve">
Đieu chinh ve cho VP Sỏ KHCN</t>
        </r>
      </text>
    </comment>
    <comment ref="K34" authorId="0" shapeId="0">
      <text>
        <r>
          <rPr>
            <b/>
            <sz val="9"/>
            <color indexed="81"/>
            <rFont val="Tahoma"/>
            <family val="2"/>
          </rPr>
          <t>Administrator:</t>
        </r>
        <r>
          <rPr>
            <sz val="9"/>
            <color indexed="81"/>
            <rFont val="Tahoma"/>
            <family val="2"/>
          </rPr>
          <t xml:space="preserve">
25tr ở BCĐ Chinh quynef số</t>
        </r>
      </text>
    </comment>
    <comment ref="L38" authorId="0" shapeId="0">
      <text>
        <r>
          <rPr>
            <b/>
            <sz val="9"/>
            <color indexed="81"/>
            <rFont val="Tahoma"/>
            <family val="2"/>
          </rPr>
          <t>Administrator:</t>
        </r>
        <r>
          <rPr>
            <sz val="9"/>
            <color indexed="81"/>
            <rFont val="Tahoma"/>
            <family val="2"/>
          </rPr>
          <t xml:space="preserve">
KNTN năm 2023
</t>
        </r>
      </text>
    </comment>
    <comment ref="J41" authorId="2" shapeId="0">
      <text>
        <r>
          <rPr>
            <b/>
            <sz val="9"/>
            <color indexed="81"/>
            <rFont val="Tahoma"/>
            <family val="2"/>
          </rPr>
          <t>Admin:</t>
        </r>
        <r>
          <rPr>
            <sz val="9"/>
            <color indexed="81"/>
            <rFont val="Tahoma"/>
            <family val="2"/>
          </rPr>
          <t xml:space="preserve">
VPUBND tỉnh chuyển sang</t>
        </r>
      </text>
    </comment>
    <comment ref="L43" authorId="0" shapeId="0">
      <text>
        <r>
          <rPr>
            <b/>
            <sz val="9"/>
            <color indexed="81"/>
            <rFont val="Tahoma"/>
            <family val="2"/>
          </rPr>
          <t>Administrator:</t>
        </r>
        <r>
          <rPr>
            <sz val="9"/>
            <color indexed="81"/>
            <rFont val="Tahoma"/>
            <family val="2"/>
          </rPr>
          <t xml:space="preserve">
Giam  BC dieu chinh qua VP dieu phoi</t>
        </r>
      </text>
    </comment>
    <comment ref="L51" authorId="0" shapeId="0">
      <text>
        <r>
          <rPr>
            <b/>
            <sz val="9"/>
            <color indexed="81"/>
            <rFont val="Tahoma"/>
            <family val="2"/>
          </rPr>
          <t>Administrator:</t>
        </r>
        <r>
          <rPr>
            <sz val="9"/>
            <color indexed="81"/>
            <rFont val="Tahoma"/>
            <family val="2"/>
          </rPr>
          <t xml:space="preserve">
ĐC giam để tăng  KL Cam lộ, Ddakrong, Hai lang</t>
        </r>
      </text>
    </comment>
    <comment ref="M51" authorId="0" shapeId="0">
      <text>
        <r>
          <rPr>
            <b/>
            <sz val="9"/>
            <color indexed="81"/>
            <rFont val="Tahoma"/>
            <family val="2"/>
          </rPr>
          <t>Administrator:</t>
        </r>
        <r>
          <rPr>
            <sz val="9"/>
            <color indexed="81"/>
            <rFont val="Tahoma"/>
            <family val="2"/>
          </rPr>
          <t xml:space="preserve">
CÒN 186,071 NHƯNG GIMR CHỈ CÓ 80,184TR</t>
        </r>
      </text>
    </comment>
    <comment ref="K70" authorId="1" shapeId="0">
      <text>
        <r>
          <rPr>
            <b/>
            <sz val="9"/>
            <color indexed="81"/>
            <rFont val="Tahoma"/>
            <family val="2"/>
          </rPr>
          <t>Welcome:</t>
        </r>
        <r>
          <rPr>
            <sz val="9"/>
            <color indexed="81"/>
            <rFont val="Tahoma"/>
            <family val="2"/>
          </rPr>
          <t xml:space="preserve">
Phuwng báo 43,287
có 3,9tr snkt</t>
        </r>
      </text>
    </comment>
    <comment ref="Q89" authorId="0" shapeId="0">
      <text>
        <r>
          <rPr>
            <b/>
            <sz val="9"/>
            <color indexed="81"/>
            <rFont val="Tahoma"/>
            <family val="2"/>
          </rPr>
          <t>Administrator:</t>
        </r>
        <r>
          <rPr>
            <sz val="9"/>
            <color indexed="81"/>
            <rFont val="Tahoma"/>
            <family val="2"/>
          </rPr>
          <t xml:space="preserve">
Phương ko nhập DT 90 tr này do con người giảm</t>
        </r>
      </text>
    </comment>
    <comment ref="F96" authorId="2" shapeId="0">
      <text>
        <r>
          <rPr>
            <b/>
            <sz val="9"/>
            <color indexed="81"/>
            <rFont val="Tahoma"/>
            <family val="2"/>
          </rPr>
          <t>Admin:</t>
        </r>
        <r>
          <rPr>
            <sz val="9"/>
            <color indexed="81"/>
            <rFont val="Tahoma"/>
            <family val="2"/>
          </rPr>
          <t xml:space="preserve">
KP Đại hội Đảng (Ngành 190)</t>
        </r>
      </text>
    </comment>
    <comment ref="E98" authorId="0" shapeId="0">
      <text>
        <r>
          <rPr>
            <b/>
            <sz val="9"/>
            <color indexed="81"/>
            <rFont val="Tahoma"/>
            <family val="2"/>
          </rPr>
          <t>Administrator:</t>
        </r>
        <r>
          <rPr>
            <sz val="9"/>
            <color indexed="81"/>
            <rFont val="Tahoma"/>
            <family val="2"/>
          </rPr>
          <t xml:space="preserve">
Đieu chinh tư VP So VH ve doan NT</t>
        </r>
      </text>
    </comment>
    <comment ref="B110" authorId="0" shapeId="0">
      <text>
        <r>
          <rPr>
            <b/>
            <sz val="9"/>
            <color indexed="81"/>
            <rFont val="Tahoma"/>
            <family val="2"/>
          </rPr>
          <t>Administrator:</t>
        </r>
        <r>
          <rPr>
            <sz val="9"/>
            <color indexed="81"/>
            <rFont val="Tahoma"/>
            <family val="2"/>
          </rPr>
          <t xml:space="preserve">
VP UBND tỉnh phân bổ lại</t>
        </r>
      </text>
    </comment>
    <comment ref="E126" authorId="0" shapeId="0">
      <text>
        <r>
          <rPr>
            <b/>
            <sz val="9"/>
            <color indexed="81"/>
            <rFont val="Tahoma"/>
            <family val="2"/>
          </rPr>
          <t>Administrator:</t>
        </r>
        <r>
          <rPr>
            <sz val="9"/>
            <color indexed="81"/>
            <rFont val="Tahoma"/>
            <family val="2"/>
          </rPr>
          <t xml:space="preserve">
Chưa đủ dự toán: lệch 89tr</t>
        </r>
      </text>
    </comment>
    <comment ref="L137" authorId="0" shapeId="0">
      <text>
        <r>
          <rPr>
            <b/>
            <sz val="9"/>
            <color indexed="81"/>
            <rFont val="Tahoma"/>
            <family val="2"/>
          </rPr>
          <t>Administrator:</t>
        </r>
        <r>
          <rPr>
            <sz val="9"/>
            <color indexed="81"/>
            <rFont val="Tahoma"/>
            <family val="2"/>
          </rPr>
          <t xml:space="preserve">
Hỏi chị Chi đc mguoong 12: 1,369.731.000đ mà nhập lại 13: 1.231.631.000đ; CL: 138.100.000đ bỏ ở đâu</t>
        </r>
      </text>
    </comment>
    <comment ref="C157" authorId="0" shapeId="0">
      <text>
        <r>
          <rPr>
            <b/>
            <sz val="9"/>
            <color indexed="81"/>
            <rFont val="Tahoma"/>
            <family val="2"/>
          </rPr>
          <t>Administrator:</t>
        </r>
        <r>
          <rPr>
            <sz val="9"/>
            <color indexed="81"/>
            <rFont val="Tahoma"/>
            <family val="2"/>
          </rPr>
          <t xml:space="preserve">
KP sửa chữa năm 2022 chuyển sang</t>
        </r>
      </text>
    </comment>
    <comment ref="L259" authorId="0" shapeId="0">
      <text>
        <r>
          <rPr>
            <b/>
            <sz val="9"/>
            <color indexed="81"/>
            <rFont val="Tahoma"/>
            <family val="2"/>
          </rPr>
          <t>Administrator:</t>
        </r>
        <r>
          <rPr>
            <sz val="9"/>
            <color indexed="81"/>
            <rFont val="Tahoma"/>
            <family val="2"/>
          </rPr>
          <t xml:space="preserve">
QĐ 1324/QĐ-UBND ngày 23/6/2023</t>
        </r>
      </text>
    </comment>
    <comment ref="E264" authorId="0" shapeId="0">
      <text>
        <r>
          <rPr>
            <b/>
            <sz val="9"/>
            <color indexed="81"/>
            <rFont val="Tahoma"/>
            <family val="2"/>
          </rPr>
          <t>Administrator:</t>
        </r>
        <r>
          <rPr>
            <sz val="9"/>
            <color indexed="81"/>
            <rFont val="Tahoma"/>
            <family val="2"/>
          </rPr>
          <t xml:space="preserve">
Sở VHTTDL</t>
        </r>
      </text>
    </comment>
    <comment ref="G267" authorId="0" shapeId="0">
      <text>
        <r>
          <rPr>
            <b/>
            <sz val="9"/>
            <color indexed="81"/>
            <rFont val="Tahoma"/>
            <family val="2"/>
          </rPr>
          <t>Administrator:</t>
        </r>
        <r>
          <rPr>
            <sz val="9"/>
            <color indexed="81"/>
            <rFont val="Tahoma"/>
            <family val="2"/>
          </rPr>
          <t xml:space="preserve">
đao tao SV Lao</t>
        </r>
      </text>
    </comment>
    <comment ref="E268" authorId="0" shapeId="0">
      <text>
        <r>
          <rPr>
            <b/>
            <sz val="9"/>
            <color indexed="81"/>
            <rFont val="Tahoma"/>
            <family val="2"/>
          </rPr>
          <t>Administrator:</t>
        </r>
        <r>
          <rPr>
            <sz val="9"/>
            <color indexed="81"/>
            <rFont val="Tahoma"/>
            <family val="2"/>
          </rPr>
          <t xml:space="preserve">
Dự toan gio nhưng không phân bổ</t>
        </r>
      </text>
    </comment>
    <comment ref="L302" authorId="0" shapeId="0">
      <text>
        <r>
          <rPr>
            <b/>
            <sz val="9"/>
            <color indexed="81"/>
            <rFont val="Tahoma"/>
            <family val="2"/>
          </rPr>
          <t>Administrator:</t>
        </r>
        <r>
          <rPr>
            <sz val="9"/>
            <color indexed="81"/>
            <rFont val="Tahoma"/>
            <family val="2"/>
          </rPr>
          <t xml:space="preserve">
Hỏi lại QĐ giam DT</t>
        </r>
      </text>
    </comment>
    <comment ref="E313" authorId="1" shapeId="0">
      <text>
        <r>
          <rPr>
            <b/>
            <sz val="9"/>
            <color indexed="81"/>
            <rFont val="Tahoma"/>
            <family val="2"/>
          </rPr>
          <t>Welcome:</t>
        </r>
        <r>
          <rPr>
            <sz val="9"/>
            <color indexed="81"/>
            <rFont val="Tahoma"/>
            <family val="2"/>
          </rPr>
          <t xml:space="preserve">
dư toan giao 2.000trđ nhung không phân bổ</t>
        </r>
      </text>
    </comment>
    <comment ref="O318" authorId="1" shapeId="0">
      <text>
        <r>
          <rPr>
            <b/>
            <sz val="9"/>
            <color indexed="81"/>
            <rFont val="Tahoma"/>
            <family val="2"/>
          </rPr>
          <t>Welcome:</t>
        </r>
        <r>
          <rPr>
            <sz val="9"/>
            <color indexed="81"/>
            <rFont val="Tahoma"/>
            <family val="2"/>
          </rPr>
          <t xml:space="preserve">
chị năm chưa vô số
</t>
        </r>
      </text>
    </comment>
    <comment ref="J319" authorId="1" shapeId="0">
      <text>
        <r>
          <rPr>
            <b/>
            <sz val="9"/>
            <color indexed="81"/>
            <rFont val="Tahoma"/>
            <family val="2"/>
          </rPr>
          <t>Welcome:</t>
        </r>
        <r>
          <rPr>
            <sz val="9"/>
            <color indexed="81"/>
            <rFont val="Tahoma"/>
            <family val="2"/>
          </rPr>
          <t xml:space="preserve">
TĂNG DO CHUYỂN TỪ SN Y TẾ VỀ</t>
        </r>
      </text>
    </comment>
    <comment ref="E335" authorId="0" shapeId="0">
      <text>
        <r>
          <rPr>
            <b/>
            <sz val="9"/>
            <color indexed="81"/>
            <rFont val="Tahoma"/>
            <family val="2"/>
          </rPr>
          <t>Administrator:</t>
        </r>
        <r>
          <rPr>
            <sz val="9"/>
            <color indexed="81"/>
            <rFont val="Tahoma"/>
            <family val="2"/>
          </rPr>
          <t xml:space="preserve">
Hỏi lại số</t>
        </r>
      </text>
    </comment>
    <comment ref="M352" authorId="0" shapeId="0">
      <text>
        <r>
          <rPr>
            <b/>
            <sz val="9"/>
            <color indexed="81"/>
            <rFont val="Tahoma"/>
            <family val="2"/>
          </rPr>
          <t>Administrator:</t>
        </r>
        <r>
          <rPr>
            <sz val="9"/>
            <color indexed="81"/>
            <rFont val="Tahoma"/>
            <family val="2"/>
          </rPr>
          <t xml:space="preserve">
Hỏi lại chi pHuong</t>
        </r>
      </text>
    </comment>
    <comment ref="P431" authorId="0" shapeId="0">
      <text>
        <r>
          <rPr>
            <b/>
            <sz val="9"/>
            <color indexed="81"/>
            <rFont val="Tahoma"/>
            <family val="2"/>
          </rPr>
          <t>Administrator:</t>
        </r>
        <r>
          <rPr>
            <sz val="9"/>
            <color indexed="81"/>
            <rFont val="Tahoma"/>
            <family val="2"/>
          </rPr>
          <t xml:space="preserve">
Chuyen nguon 13</t>
        </r>
      </text>
    </comment>
    <comment ref="B433" authorId="1" shapeId="0">
      <text>
        <r>
          <rPr>
            <b/>
            <sz val="9"/>
            <color indexed="81"/>
            <rFont val="Tahoma"/>
            <family val="2"/>
          </rPr>
          <t>Welcome:</t>
        </r>
        <r>
          <rPr>
            <sz val="9"/>
            <color indexed="81"/>
            <rFont val="Tahoma"/>
            <family val="2"/>
          </rPr>
          <t xml:space="preserve">
chưa có báo cáo QT 2020</t>
        </r>
      </text>
    </comment>
    <comment ref="F433" authorId="1" shapeId="0">
      <text>
        <r>
          <rPr>
            <b/>
            <sz val="9"/>
            <color indexed="81"/>
            <rFont val="Tahoma"/>
            <family val="2"/>
          </rPr>
          <t>Welcome: TWBS khac phuc bao lut</t>
        </r>
      </text>
    </comment>
    <comment ref="G433" authorId="1" shapeId="0">
      <text>
        <r>
          <rPr>
            <b/>
            <sz val="9"/>
            <color indexed="81"/>
            <rFont val="Tahoma"/>
            <family val="2"/>
          </rPr>
          <t>Welcome:</t>
        </r>
        <r>
          <rPr>
            <sz val="9"/>
            <color indexed="81"/>
            <rFont val="Tahoma"/>
            <family val="2"/>
          </rPr>
          <t xml:space="preserve">
hỏi lại nguonf bs</t>
        </r>
      </text>
    </comment>
    <comment ref="B434" authorId="1" shapeId="0">
      <text>
        <r>
          <rPr>
            <b/>
            <sz val="9"/>
            <color indexed="81"/>
            <rFont val="Tahoma"/>
            <family val="2"/>
          </rPr>
          <t>Welcome:</t>
        </r>
        <r>
          <rPr>
            <sz val="9"/>
            <color indexed="81"/>
            <rFont val="Tahoma"/>
            <family val="2"/>
          </rPr>
          <t xml:space="preserve">
chưa có bc QT 2020</t>
        </r>
      </text>
    </comment>
    <comment ref="F434" authorId="0" shapeId="0">
      <text>
        <r>
          <rPr>
            <b/>
            <sz val="9"/>
            <color indexed="81"/>
            <rFont val="Tahoma"/>
            <family val="2"/>
          </rPr>
          <t>Administrator:</t>
        </r>
        <r>
          <rPr>
            <sz val="9"/>
            <color indexed="81"/>
            <rFont val="Tahoma"/>
            <family val="2"/>
          </rPr>
          <t xml:space="preserve">
KP bao lụt TWBS</t>
        </r>
      </text>
    </comment>
    <comment ref="B435" authorId="0" shapeId="0">
      <text>
        <r>
          <rPr>
            <b/>
            <sz val="9"/>
            <color indexed="81"/>
            <rFont val="Tahoma"/>
            <family val="2"/>
          </rPr>
          <t>Administrator:</t>
        </r>
        <r>
          <rPr>
            <sz val="9"/>
            <color indexed="81"/>
            <rFont val="Tahoma"/>
            <family val="2"/>
          </rPr>
          <t xml:space="preserve">
Kiểm tra lại hủy hay QT</t>
        </r>
      </text>
    </comment>
    <comment ref="I435" authorId="1" shapeId="0">
      <text>
        <r>
          <rPr>
            <b/>
            <sz val="9"/>
            <color indexed="81"/>
            <rFont val="Tahoma"/>
            <family val="2"/>
          </rPr>
          <t>Welcome:</t>
        </r>
        <r>
          <rPr>
            <sz val="9"/>
            <color indexed="81"/>
            <rFont val="Tahoma"/>
            <family val="2"/>
          </rPr>
          <t xml:space="preserve">
hỏi lại nguồn GPMB từ loại khoản nào</t>
        </r>
      </text>
    </comment>
    <comment ref="E437" authorId="1" shapeId="0">
      <text>
        <r>
          <rPr>
            <b/>
            <sz val="9"/>
            <color indexed="81"/>
            <rFont val="Tahoma"/>
            <family val="2"/>
          </rPr>
          <t>Welcome:</t>
        </r>
        <r>
          <rPr>
            <sz val="9"/>
            <color indexed="81"/>
            <rFont val="Tahoma"/>
            <family val="2"/>
          </rPr>
          <t xml:space="preserve">
anh tại ko nhập Tabmis 257trđ</t>
        </r>
      </text>
    </comment>
    <comment ref="E438" authorId="1" shapeId="0">
      <text>
        <r>
          <rPr>
            <b/>
            <sz val="9"/>
            <color indexed="81"/>
            <rFont val="Tahoma"/>
            <family val="2"/>
          </rPr>
          <t>Welcome:</t>
        </r>
        <r>
          <rPr>
            <sz val="9"/>
            <color indexed="81"/>
            <rFont val="Tahoma"/>
            <family val="2"/>
          </rPr>
          <t xml:space="preserve">
Anh tại nhập thiếu 8 triệu đồng</t>
        </r>
      </text>
    </comment>
    <comment ref="G438" authorId="1" shapeId="0">
      <text>
        <r>
          <rPr>
            <b/>
            <sz val="9"/>
            <color indexed="81"/>
            <rFont val="Tahoma"/>
            <family val="2"/>
          </rPr>
          <t>Welcome:</t>
        </r>
        <r>
          <rPr>
            <sz val="9"/>
            <color indexed="81"/>
            <rFont val="Tahoma"/>
            <family val="2"/>
          </rPr>
          <t xml:space="preserve">
hỏi lại nguồn</t>
        </r>
      </text>
    </comment>
    <comment ref="K441" authorId="0" shapeId="0">
      <text>
        <r>
          <rPr>
            <b/>
            <sz val="9"/>
            <color indexed="81"/>
            <rFont val="Tahoma"/>
            <family val="2"/>
          </rPr>
          <t>Administrator:</t>
        </r>
        <r>
          <rPr>
            <sz val="9"/>
            <color indexed="81"/>
            <rFont val="Tahoma"/>
            <family val="2"/>
          </rPr>
          <t xml:space="preserve">
A.TẠI TRỪ tròn số ko tỉnh 70.000đ</t>
        </r>
      </text>
    </comment>
    <comment ref="E442" authorId="1" shapeId="0">
      <text>
        <r>
          <rPr>
            <b/>
            <sz val="9"/>
            <color indexed="81"/>
            <rFont val="Tahoma"/>
            <family val="2"/>
          </rPr>
          <t>Welcome:</t>
        </r>
        <r>
          <rPr>
            <sz val="9"/>
            <color indexed="81"/>
            <rFont val="Tahoma"/>
            <family val="2"/>
          </rPr>
          <t xml:space="preserve">
ANH TẠI KO NHẠP TABMIS 3TR</t>
        </r>
      </text>
    </comment>
    <comment ref="K442" authorId="0" shapeId="0">
      <text>
        <r>
          <rPr>
            <b/>
            <sz val="9"/>
            <color indexed="81"/>
            <rFont val="Tahoma"/>
            <family val="2"/>
          </rPr>
          <t>Administrator:</t>
        </r>
        <r>
          <rPr>
            <sz val="9"/>
            <color indexed="81"/>
            <rFont val="Tahoma"/>
            <family val="2"/>
          </rPr>
          <t xml:space="preserve">
Lệch 800 đồng do anh tại ko nhập số lẻ</t>
        </r>
      </text>
    </comment>
    <comment ref="F454" authorId="1" shapeId="0">
      <text>
        <r>
          <rPr>
            <b/>
            <sz val="9"/>
            <color indexed="81"/>
            <rFont val="Tahoma"/>
            <family val="2"/>
          </rPr>
          <t>Welcome:</t>
        </r>
        <r>
          <rPr>
            <sz val="9"/>
            <color indexed="81"/>
            <rFont val="Tahoma"/>
            <family val="2"/>
          </rPr>
          <t xml:space="preserve">
NSTWBS</t>
        </r>
      </text>
    </comment>
    <comment ref="C460" authorId="2" shapeId="0">
      <text>
        <r>
          <rPr>
            <b/>
            <sz val="9"/>
            <color indexed="81"/>
            <rFont val="Tahoma"/>
            <family val="2"/>
          </rPr>
          <t>Admin:</t>
        </r>
        <r>
          <rPr>
            <sz val="9"/>
            <color indexed="81"/>
            <rFont val="Tahoma"/>
            <family val="2"/>
          </rPr>
          <t xml:space="preserve">
DP năm 2019 chuyển sang năm 2020
</t>
        </r>
      </text>
    </comment>
    <comment ref="I460" authorId="2" shapeId="0">
      <text>
        <r>
          <rPr>
            <b/>
            <sz val="9"/>
            <color indexed="81"/>
            <rFont val="Tahoma"/>
            <family val="2"/>
          </rPr>
          <t>Admin:</t>
        </r>
        <r>
          <rPr>
            <sz val="9"/>
            <color indexed="81"/>
            <rFont val="Tahoma"/>
            <family val="2"/>
          </rPr>
          <t xml:space="preserve">
Nguồn 429
</t>
        </r>
      </text>
    </comment>
    <comment ref="B462" authorId="2" shapeId="0">
      <text>
        <r>
          <rPr>
            <b/>
            <sz val="9"/>
            <color indexed="81"/>
            <rFont val="Tahoma"/>
            <family val="2"/>
          </rPr>
          <t>Admin:</t>
        </r>
        <r>
          <rPr>
            <sz val="9"/>
            <color indexed="81"/>
            <rFont val="Tahoma"/>
            <family val="2"/>
          </rPr>
          <t xml:space="preserve">
Dt giao đầu năm 2.506 trđ. Phân bổ lại cho TTPT quỹ đất: 450trd</t>
        </r>
      </text>
    </comment>
    <comment ref="E462" authorId="0" shapeId="0">
      <text>
        <r>
          <rPr>
            <b/>
            <sz val="9"/>
            <color indexed="81"/>
            <rFont val="Tahoma"/>
            <family val="2"/>
          </rPr>
          <t>Administrator:</t>
        </r>
        <r>
          <rPr>
            <sz val="9"/>
            <color indexed="81"/>
            <rFont val="Tahoma"/>
            <family val="2"/>
          </rPr>
          <t xml:space="preserve">
DT giao 3.091trđ, giao cho TTPTQĐ tỉnh: 487trđ</t>
        </r>
      </text>
    </comment>
    <comment ref="F462" authorId="0" shapeId="0">
      <text>
        <r>
          <rPr>
            <b/>
            <sz val="9"/>
            <color indexed="81"/>
            <rFont val="Tahoma"/>
            <family val="2"/>
          </rPr>
          <t>Administrator:</t>
        </r>
        <r>
          <rPr>
            <sz val="9"/>
            <color indexed="81"/>
            <rFont val="Tahoma"/>
            <family val="2"/>
          </rPr>
          <t xml:space="preserve">
10% nguồn thu đấu giá đất</t>
        </r>
      </text>
    </comment>
    <comment ref="E468" authorId="1" shapeId="0">
      <text>
        <r>
          <rPr>
            <b/>
            <sz val="9"/>
            <color indexed="81"/>
            <rFont val="Tahoma"/>
            <family val="2"/>
          </rPr>
          <t>Welcome:</t>
        </r>
        <r>
          <rPr>
            <sz val="9"/>
            <color indexed="81"/>
            <rFont val="Tahoma"/>
            <family val="2"/>
          </rPr>
          <t xml:space="preserve">
giao 57.000trđ, chỉ phân bổ 39.587trđ
</t>
        </r>
      </text>
    </comment>
    <comment ref="B493" authorId="1" shapeId="0">
      <text>
        <r>
          <rPr>
            <b/>
            <sz val="9"/>
            <color indexed="81"/>
            <rFont val="Tahoma"/>
            <family val="2"/>
          </rPr>
          <t>Welcome:</t>
        </r>
        <r>
          <rPr>
            <sz val="9"/>
            <color indexed="81"/>
            <rFont val="Tahoma"/>
            <family val="2"/>
          </rPr>
          <t xml:space="preserve">
chưa có báo cáo QT 2020</t>
        </r>
      </text>
    </comment>
    <comment ref="E496" authorId="1" shapeId="0">
      <text>
        <r>
          <rPr>
            <b/>
            <sz val="9"/>
            <color indexed="81"/>
            <rFont val="Tahoma"/>
            <family val="2"/>
          </rPr>
          <t>Welcome:</t>
        </r>
        <r>
          <rPr>
            <sz val="9"/>
            <color indexed="81"/>
            <rFont val="Tahoma"/>
            <family val="2"/>
          </rPr>
          <t xml:space="preserve">
dự toán đầu năm giaoL 1217tr, phân bổ 915,3tr
</t>
        </r>
      </text>
    </comment>
    <comment ref="B524" authorId="1" shapeId="0">
      <text>
        <r>
          <rPr>
            <b/>
            <sz val="9"/>
            <color indexed="81"/>
            <rFont val="Tahoma"/>
            <family val="2"/>
            <charset val="163"/>
          </rPr>
          <t>Welcome:</t>
        </r>
        <r>
          <rPr>
            <sz val="9"/>
            <color indexed="81"/>
            <rFont val="Tahoma"/>
            <family val="2"/>
            <charset val="163"/>
          </rPr>
          <t xml:space="preserve">
Kinh phí thực hiện NQ số 05/2017/NQ-HĐND ngày 23/5/2017 về một số chính sách hỗ trợ, khuyến khích phát triển kinh tế tập thể giai đoạn 2017 - 2020</t>
        </r>
      </text>
    </comment>
    <comment ref="B525" authorId="1" shapeId="0">
      <text>
        <r>
          <rPr>
            <b/>
            <sz val="9"/>
            <color indexed="81"/>
            <rFont val="Tahoma"/>
            <family val="2"/>
            <charset val="163"/>
          </rPr>
          <t>Welcome:</t>
        </r>
        <r>
          <rPr>
            <sz val="9"/>
            <color indexed="81"/>
            <rFont val="Tahoma"/>
            <family val="2"/>
            <charset val="163"/>
          </rPr>
          <t xml:space="preserve">
(Hỗ trợ kinh phí BHXH cho cán bộ Hợp tác xã; Hỗ trợ thành lập mới hợp tác xã; Đào tạo)</t>
        </r>
      </text>
    </comment>
  </commentList>
</comments>
</file>

<file path=xl/comments3.xml><?xml version="1.0" encoding="utf-8"?>
<comments xmlns="http://schemas.openxmlformats.org/spreadsheetml/2006/main">
  <authors>
    <author>Microsoft</author>
    <author>ADMIN</author>
    <author>Administrator</author>
    <author>minjak</author>
  </authors>
  <commentList>
    <comment ref="I10" authorId="0" shapeId="0">
      <text>
        <r>
          <rPr>
            <b/>
            <sz val="9"/>
            <color indexed="81"/>
            <rFont val="Tahoma"/>
            <family val="2"/>
          </rPr>
          <t>TB thẩm định QT huyện</t>
        </r>
      </text>
    </comment>
    <comment ref="J10" authorId="1" shapeId="0">
      <text>
        <r>
          <rPr>
            <b/>
            <sz val="9"/>
            <color indexed="81"/>
            <rFont val="Tahoma"/>
            <family val="2"/>
          </rPr>
          <t>TB thẩm định QT</t>
        </r>
      </text>
    </comment>
    <comment ref="K10" authorId="2" shapeId="0">
      <text>
        <r>
          <rPr>
            <b/>
            <sz val="9"/>
            <color indexed="81"/>
            <rFont val="Tahoma"/>
            <family val="2"/>
          </rPr>
          <t>NQ 154 HĐND huyện</t>
        </r>
      </text>
    </comment>
    <comment ref="U10" authorId="0" shapeId="0">
      <text>
        <r>
          <rPr>
            <b/>
            <sz val="9"/>
            <color indexed="81"/>
            <rFont val="Tahoma"/>
            <family val="2"/>
          </rPr>
          <t>TB thẩm định QT</t>
        </r>
      </text>
    </comment>
    <comment ref="K11" authorId="2" shapeId="0">
      <text>
        <r>
          <rPr>
            <b/>
            <sz val="9"/>
            <color indexed="81"/>
            <rFont val="Tahoma"/>
            <family val="2"/>
          </rPr>
          <t xml:space="preserve">NQ 68 HĐND
</t>
        </r>
      </text>
    </comment>
    <comment ref="I12" authorId="3" shapeId="0">
      <text>
        <r>
          <rPr>
            <b/>
            <sz val="9"/>
            <color indexed="81"/>
            <rFont val="Tahoma"/>
            <family val="2"/>
          </rPr>
          <t>số Cquan lên k khớp tabmis</t>
        </r>
      </text>
    </comment>
    <comment ref="J13" authorId="1" shapeId="0">
      <text>
        <r>
          <rPr>
            <b/>
            <sz val="9"/>
            <color indexed="81"/>
            <rFont val="Tahoma"/>
            <family val="2"/>
          </rPr>
          <t>ADMIN:</t>
        </r>
        <r>
          <rPr>
            <sz val="9"/>
            <color indexed="81"/>
            <rFont val="Tahoma"/>
            <family val="2"/>
          </rPr>
          <t xml:space="preserve">
bc tab mis 1293+297</t>
        </r>
      </text>
    </comment>
    <comment ref="I15" authorId="3" shapeId="0">
      <text>
        <r>
          <rPr>
            <sz val="9"/>
            <color indexed="81"/>
            <rFont val="Tahoma"/>
            <family val="2"/>
          </rPr>
          <t xml:space="preserve">số CQ k khớp
</t>
        </r>
      </text>
    </comment>
    <comment ref="J15" authorId="1" shapeId="0">
      <text>
        <r>
          <rPr>
            <b/>
            <sz val="9"/>
            <color indexed="81"/>
            <rFont val="Tahoma"/>
            <family val="2"/>
          </rPr>
          <t>ADMIN:</t>
        </r>
        <r>
          <rPr>
            <sz val="9"/>
            <color indexed="81"/>
            <rFont val="Tahoma"/>
            <family val="2"/>
          </rPr>
          <t xml:space="preserve">
lay theo TĐ </t>
        </r>
      </text>
    </comment>
    <comment ref="J17" authorId="1" shapeId="0">
      <text>
        <r>
          <rPr>
            <b/>
            <sz val="9"/>
            <color indexed="81"/>
            <rFont val="Tahoma"/>
            <family val="2"/>
          </rPr>
          <t>ADMIN:</t>
        </r>
        <r>
          <rPr>
            <sz val="9"/>
            <color indexed="81"/>
            <rFont val="Tahoma"/>
            <family val="2"/>
          </rPr>
          <t xml:space="preserve">
bc huyen 5027 tông, chi tiet 2223 cap huyejn xa kho, tabmis 5115</t>
        </r>
      </text>
    </comment>
    <comment ref="J18" authorId="1" shapeId="0">
      <text>
        <r>
          <rPr>
            <b/>
            <sz val="9"/>
            <color indexed="81"/>
            <rFont val="Tahoma"/>
            <family val="2"/>
          </rPr>
          <t>ADMIN:</t>
        </r>
        <r>
          <rPr>
            <sz val="9"/>
            <color indexed="81"/>
            <rFont val="Tahoma"/>
            <family val="2"/>
          </rPr>
          <t xml:space="preserve">
tamis16492</t>
        </r>
      </text>
    </comment>
  </commentList>
</comments>
</file>

<file path=xl/comments4.xml><?xml version="1.0" encoding="utf-8"?>
<comments xmlns="http://schemas.openxmlformats.org/spreadsheetml/2006/main">
  <authors>
    <author>Admin</author>
    <author>Administrator</author>
  </authors>
  <commentList>
    <comment ref="S8" authorId="0" shapeId="0">
      <text>
        <r>
          <rPr>
            <b/>
            <sz val="9"/>
            <color indexed="81"/>
            <rFont val="Tahoma"/>
            <family val="2"/>
          </rPr>
          <t>Admin:</t>
        </r>
        <r>
          <rPr>
            <sz val="9"/>
            <color indexed="81"/>
            <rFont val="Tahoma"/>
            <family val="2"/>
          </rPr>
          <t xml:space="preserve">
nhập theo số qtoan bscmt huyên bcao</t>
        </r>
      </text>
    </comment>
    <comment ref="X16" authorId="1" shapeId="0">
      <text>
        <r>
          <rPr>
            <b/>
            <sz val="9"/>
            <color indexed="81"/>
            <rFont val="Tahoma"/>
            <family val="2"/>
          </rPr>
          <t>Administrator:</t>
        </r>
        <r>
          <rPr>
            <sz val="9"/>
            <color indexed="81"/>
            <rFont val="Tahoma"/>
            <family val="2"/>
          </rPr>
          <t xml:space="preserve">
ng xs
</t>
        </r>
      </text>
    </comment>
    <comment ref="X17" authorId="1" shapeId="0">
      <text>
        <r>
          <rPr>
            <b/>
            <sz val="9"/>
            <color indexed="81"/>
            <rFont val="Tahoma"/>
            <family val="2"/>
          </rPr>
          <t>chi từ ng XSKT: 966tr</t>
        </r>
      </text>
    </comment>
    <comment ref="X18" authorId="1" shapeId="0">
      <text>
        <r>
          <rPr>
            <b/>
            <sz val="9"/>
            <color indexed="81"/>
            <rFont val="Tahoma"/>
            <family val="2"/>
          </rPr>
          <t xml:space="preserve"> ng xs</t>
        </r>
      </text>
    </comment>
    <comment ref="X19" authorId="1" shapeId="0">
      <text>
        <r>
          <rPr>
            <b/>
            <sz val="9"/>
            <color indexed="81"/>
            <rFont val="Tahoma"/>
            <family val="2"/>
          </rPr>
          <t xml:space="preserve"> ng xs</t>
        </r>
      </text>
    </comment>
  </commentList>
</comments>
</file>

<file path=xl/comments5.xml><?xml version="1.0" encoding="utf-8"?>
<comments xmlns="http://schemas.openxmlformats.org/spreadsheetml/2006/main">
  <authors>
    <author>Author</author>
  </authors>
  <commentList>
    <comment ref="O74" authorId="0" shapeId="0">
      <text>
        <r>
          <rPr>
            <b/>
            <sz val="9"/>
            <color indexed="81"/>
            <rFont val="Tahoma"/>
            <family val="2"/>
          </rPr>
          <t>Author:</t>
        </r>
        <r>
          <rPr>
            <sz val="9"/>
            <color indexed="81"/>
            <rFont val="Tahoma"/>
            <family val="2"/>
          </rPr>
          <t xml:space="preserve">
lấy theo số tabmis</t>
        </r>
      </text>
    </comment>
    <comment ref="V74" authorId="0" shapeId="0">
      <text>
        <r>
          <rPr>
            <b/>
            <sz val="9"/>
            <color indexed="81"/>
            <rFont val="Tahoma"/>
            <family val="2"/>
          </rPr>
          <t>Author:</t>
        </r>
        <r>
          <rPr>
            <sz val="9"/>
            <color indexed="81"/>
            <rFont val="Tahoma"/>
            <family val="2"/>
          </rPr>
          <t xml:space="preserve">
lấy theo số tabmis</t>
        </r>
      </text>
    </comment>
    <comment ref="AC74" authorId="0" shapeId="0">
      <text>
        <r>
          <rPr>
            <b/>
            <sz val="9"/>
            <color indexed="81"/>
            <rFont val="Tahoma"/>
            <family val="2"/>
          </rPr>
          <t>Author:</t>
        </r>
        <r>
          <rPr>
            <sz val="9"/>
            <color indexed="81"/>
            <rFont val="Tahoma"/>
            <family val="2"/>
          </rPr>
          <t xml:space="preserve">
lấy theo số tabmis</t>
        </r>
      </text>
    </comment>
    <comment ref="AT74" authorId="0" shapeId="0">
      <text>
        <r>
          <rPr>
            <b/>
            <sz val="9"/>
            <color indexed="81"/>
            <rFont val="Tahoma"/>
            <family val="2"/>
          </rPr>
          <t>Author:</t>
        </r>
        <r>
          <rPr>
            <sz val="9"/>
            <color indexed="81"/>
            <rFont val="Tahoma"/>
            <family val="2"/>
          </rPr>
          <t xml:space="preserve">
lấy theo số tabmis</t>
        </r>
      </text>
    </comment>
    <comment ref="O78" authorId="0" shapeId="0">
      <text>
        <r>
          <rPr>
            <b/>
            <sz val="9"/>
            <color indexed="81"/>
            <rFont val="Tahoma"/>
            <family val="2"/>
          </rPr>
          <t>Author:</t>
        </r>
        <r>
          <rPr>
            <sz val="9"/>
            <color indexed="81"/>
            <rFont val="Tahoma"/>
            <family val="2"/>
          </rPr>
          <t xml:space="preserve">
lay theo tab - mã dp 39tr</t>
        </r>
      </text>
    </comment>
    <comment ref="V78" authorId="0" shapeId="0">
      <text>
        <r>
          <rPr>
            <b/>
            <sz val="9"/>
            <color indexed="81"/>
            <rFont val="Tahoma"/>
            <family val="2"/>
          </rPr>
          <t>Author:</t>
        </r>
        <r>
          <rPr>
            <sz val="9"/>
            <color indexed="81"/>
            <rFont val="Tahoma"/>
            <family val="2"/>
          </rPr>
          <t xml:space="preserve">
lay theo tab - mã dp 39tr</t>
        </r>
      </text>
    </comment>
    <comment ref="AC78" authorId="0" shapeId="0">
      <text>
        <r>
          <rPr>
            <b/>
            <sz val="9"/>
            <color indexed="81"/>
            <rFont val="Tahoma"/>
            <family val="2"/>
          </rPr>
          <t>Author:</t>
        </r>
        <r>
          <rPr>
            <sz val="9"/>
            <color indexed="81"/>
            <rFont val="Tahoma"/>
            <family val="2"/>
          </rPr>
          <t xml:space="preserve">
lay theo tab - mã dp 39tr</t>
        </r>
      </text>
    </comment>
    <comment ref="AT78" authorId="0" shapeId="0">
      <text>
        <r>
          <rPr>
            <b/>
            <sz val="9"/>
            <color indexed="81"/>
            <rFont val="Tahoma"/>
            <family val="2"/>
          </rPr>
          <t>Author:</t>
        </r>
        <r>
          <rPr>
            <sz val="9"/>
            <color indexed="81"/>
            <rFont val="Tahoma"/>
            <family val="2"/>
          </rPr>
          <t xml:space="preserve">
lay theo tab - mã dp 39tr</t>
        </r>
      </text>
    </comment>
    <comment ref="BA78" authorId="0" shapeId="0">
      <text>
        <r>
          <rPr>
            <b/>
            <sz val="9"/>
            <color indexed="81"/>
            <rFont val="Tahoma"/>
            <family val="2"/>
          </rPr>
          <t>Author:</t>
        </r>
        <r>
          <rPr>
            <sz val="9"/>
            <color indexed="81"/>
            <rFont val="Tahoma"/>
            <family val="2"/>
          </rPr>
          <t xml:space="preserve">
lay theo tab - mã dp 39tr</t>
        </r>
      </text>
    </comment>
  </commentList>
</comments>
</file>

<file path=xl/comments6.xml><?xml version="1.0" encoding="utf-8"?>
<comments xmlns="http://schemas.openxmlformats.org/spreadsheetml/2006/main">
  <authors>
    <author>Admin</author>
    <author>TCT Company</author>
  </authors>
  <commentList>
    <comment ref="D10" authorId="0" shapeId="0">
      <text>
        <r>
          <rPr>
            <b/>
            <sz val="9"/>
            <color indexed="81"/>
            <rFont val="Tahoma"/>
            <family val="2"/>
          </rPr>
          <t>Admin:</t>
        </r>
        <r>
          <rPr>
            <sz val="9"/>
            <color indexed="81"/>
            <rFont val="Tahoma"/>
            <family val="2"/>
          </rPr>
          <t xml:space="preserve">
Chênh lệch so với KH giao tại NQ của HĐ do KH vốn ưu đãi đầu tư: 8 tỷ, nhưng các QĐ chi tiết chỉ có 7.996,266trđ</t>
        </r>
      </text>
    </comment>
    <comment ref="D12" authorId="0" shapeId="0">
      <text>
        <r>
          <rPr>
            <b/>
            <sz val="9"/>
            <color indexed="81"/>
            <rFont val="Tahoma"/>
            <family val="2"/>
          </rPr>
          <t>Admin:</t>
        </r>
        <r>
          <rPr>
            <sz val="9"/>
            <color indexed="81"/>
            <rFont val="Tahoma"/>
            <family val="2"/>
          </rPr>
          <t xml:space="preserve">
Chênh lệch so với KH giao do có trích 2 tỷ để trả vốn vay tín dụng ưu đãi</t>
        </r>
      </text>
    </comment>
    <comment ref="O19" authorId="0" shapeId="0">
      <text>
        <r>
          <rPr>
            <b/>
            <sz val="9"/>
            <color indexed="81"/>
            <rFont val="Tahoma"/>
            <family val="2"/>
          </rPr>
          <t>Admin:</t>
        </r>
        <r>
          <rPr>
            <sz val="9"/>
            <color indexed="81"/>
            <rFont val="Tahoma"/>
            <family val="2"/>
          </rPr>
          <t xml:space="preserve">
Số này chênh so với BC B3-01: 575,949trđ (do DA vốn nước ngoài đi theo cơ chế thanh toán trong nước)</t>
        </r>
      </text>
    </comment>
    <comment ref="D33" authorId="1" shapeId="0">
      <text>
        <r>
          <rPr>
            <b/>
            <sz val="8"/>
            <color indexed="81"/>
            <rFont val="Tahoma"/>
            <family val="2"/>
          </rPr>
          <t>TCT Company:</t>
        </r>
        <r>
          <rPr>
            <sz val="8"/>
            <color indexed="81"/>
            <rFont val="Tahoma"/>
            <family val="2"/>
          </rPr>
          <t xml:space="preserve">
Ưu đãi đầu tư - QĐ 2080/QĐ-UBND ngày 02/8/2017</t>
        </r>
      </text>
    </comment>
    <comment ref="D36" authorId="1" shapeId="0">
      <text>
        <r>
          <rPr>
            <b/>
            <sz val="8"/>
            <color indexed="81"/>
            <rFont val="Tahoma"/>
            <family val="2"/>
          </rPr>
          <t>TCT Company:</t>
        </r>
        <r>
          <rPr>
            <sz val="8"/>
            <color indexed="81"/>
            <rFont val="Tahoma"/>
            <family val="2"/>
          </rPr>
          <t xml:space="preserve">
DPNSTW (QĐ 2372/QĐ-UBND ngày 30/8/2017)</t>
        </r>
      </text>
    </comment>
    <comment ref="B41" authorId="1" shapeId="0">
      <text>
        <r>
          <rPr>
            <b/>
            <sz val="8"/>
            <color indexed="81"/>
            <rFont val="Tahoma"/>
            <family val="2"/>
          </rPr>
          <t>TCT Company:</t>
        </r>
        <r>
          <rPr>
            <sz val="8"/>
            <color indexed="81"/>
            <rFont val="Tahoma"/>
            <family val="2"/>
          </rPr>
          <t xml:space="preserve">
ko có mã CTMT</t>
        </r>
      </text>
    </comment>
    <comment ref="D57" authorId="1" shapeId="0">
      <text>
        <r>
          <rPr>
            <b/>
            <sz val="8"/>
            <color indexed="81"/>
            <rFont val="Tahoma"/>
            <family val="2"/>
          </rPr>
          <t>TCT Company:</t>
        </r>
        <r>
          <rPr>
            <sz val="8"/>
            <color indexed="81"/>
            <rFont val="Tahoma"/>
            <family val="2"/>
          </rPr>
          <t xml:space="preserve">
QĐ bố trí vốn 895/QĐ-UBND</t>
        </r>
      </text>
    </comment>
    <comment ref="D58" authorId="1" shapeId="0">
      <text>
        <r>
          <rPr>
            <b/>
            <sz val="8"/>
            <color indexed="81"/>
            <rFont val="Tahoma"/>
            <family val="2"/>
          </rPr>
          <t>TCT Company:</t>
        </r>
        <r>
          <rPr>
            <sz val="8"/>
            <color indexed="81"/>
            <rFont val="Tahoma"/>
            <family val="2"/>
          </rPr>
          <t xml:space="preserve">
Đi LCT - QĐ 299 (Mật)</t>
        </r>
      </text>
    </comment>
    <comment ref="D76" authorId="0" shapeId="0">
      <text>
        <r>
          <rPr>
            <b/>
            <sz val="9"/>
            <color indexed="81"/>
            <rFont val="Tahoma"/>
            <family val="2"/>
          </rPr>
          <t>Admin:</t>
        </r>
        <r>
          <rPr>
            <sz val="9"/>
            <color indexed="81"/>
            <rFont val="Tahoma"/>
            <family val="2"/>
          </rPr>
          <t xml:space="preserve">
Ưu đãi đầu tư</t>
        </r>
      </text>
    </comment>
    <comment ref="D111" authorId="1" shapeId="0">
      <text>
        <r>
          <rPr>
            <b/>
            <sz val="8"/>
            <color indexed="81"/>
            <rFont val="Tahoma"/>
            <family val="2"/>
          </rPr>
          <t>TCT Company:</t>
        </r>
        <r>
          <rPr>
            <sz val="8"/>
            <color indexed="81"/>
            <rFont val="Tahoma"/>
            <family val="2"/>
          </rPr>
          <t xml:space="preserve">
QĐ 3519: 432tr;
QĐ 812: 800trđ</t>
        </r>
      </text>
    </comment>
    <comment ref="D118" authorId="1" shapeId="0">
      <text>
        <r>
          <rPr>
            <b/>
            <sz val="8"/>
            <color indexed="81"/>
            <rFont val="Tahoma"/>
            <family val="2"/>
          </rPr>
          <t>TCT Company:</t>
        </r>
        <r>
          <rPr>
            <sz val="8"/>
            <color indexed="81"/>
            <rFont val="Tahoma"/>
            <family val="2"/>
          </rPr>
          <t xml:space="preserve">
QĐ 1028/QĐ-UBND ngày 18/5/2017 (DT chi khác khối tỉnh)</t>
        </r>
      </text>
    </comment>
    <comment ref="D119" authorId="1" shapeId="0">
      <text>
        <r>
          <rPr>
            <b/>
            <sz val="8"/>
            <color indexed="81"/>
            <rFont val="Tahoma"/>
            <family val="2"/>
          </rPr>
          <t>TCT Company:</t>
        </r>
        <r>
          <rPr>
            <sz val="8"/>
            <color indexed="81"/>
            <rFont val="Tahoma"/>
            <family val="2"/>
          </rPr>
          <t xml:space="preserve">
TWHT có địa chỉ (QĐ 2009/QĐ-UBND ngày 24/7/2017)</t>
        </r>
      </text>
    </comment>
    <comment ref="D131" authorId="1" shapeId="0">
      <text>
        <r>
          <rPr>
            <b/>
            <sz val="8"/>
            <color indexed="81"/>
            <rFont val="Tahoma"/>
            <family val="2"/>
          </rPr>
          <t>TCT Company:</t>
        </r>
        <r>
          <rPr>
            <sz val="8"/>
            <color indexed="81"/>
            <rFont val="Tahoma"/>
            <family val="2"/>
          </rPr>
          <t xml:space="preserve">
QĐ 951/QĐ-UBND ngày 09/5/2017: 1.193trđ
QĐ 2209: 1,500trđ</t>
        </r>
      </text>
    </comment>
    <comment ref="D132" authorId="1" shapeId="0">
      <text>
        <r>
          <rPr>
            <b/>
            <sz val="8"/>
            <color indexed="81"/>
            <rFont val="Tahoma"/>
            <family val="2"/>
          </rPr>
          <t>TCT Company:</t>
        </r>
        <r>
          <rPr>
            <sz val="8"/>
            <color indexed="81"/>
            <rFont val="Tahoma"/>
            <family val="2"/>
          </rPr>
          <t xml:space="preserve">
QĐ 2209 ngày 14/8/2017</t>
        </r>
      </text>
    </comment>
    <comment ref="D136" authorId="0" shapeId="0">
      <text>
        <r>
          <rPr>
            <b/>
            <sz val="9"/>
            <color indexed="81"/>
            <rFont val="Tahoma"/>
            <family val="2"/>
          </rPr>
          <t>Admin:</t>
        </r>
        <r>
          <rPr>
            <sz val="9"/>
            <color indexed="81"/>
            <rFont val="Tahoma"/>
            <family val="2"/>
          </rPr>
          <t xml:space="preserve">
Có 940tr bố trí từ nguồn vượt thu quỹ đất</t>
        </r>
      </text>
    </comment>
    <comment ref="D166" authorId="0" shapeId="0">
      <text>
        <r>
          <rPr>
            <b/>
            <sz val="9"/>
            <color indexed="81"/>
            <rFont val="Tahoma"/>
            <family val="2"/>
          </rPr>
          <t>Admin:</t>
        </r>
        <r>
          <rPr>
            <sz val="9"/>
            <color indexed="81"/>
            <rFont val="Tahoma"/>
            <family val="2"/>
          </rPr>
          <t xml:space="preserve">
Quỹ đất doanh nghiệp</t>
        </r>
      </text>
    </comment>
    <comment ref="D174" authorId="0" shapeId="0">
      <text>
        <r>
          <rPr>
            <b/>
            <sz val="9"/>
            <color indexed="81"/>
            <rFont val="Tahoma"/>
            <family val="2"/>
          </rPr>
          <t>Admin:</t>
        </r>
        <r>
          <rPr>
            <sz val="9"/>
            <color indexed="81"/>
            <rFont val="Tahoma"/>
            <family val="2"/>
          </rPr>
          <t xml:space="preserve">
Trong năm giao bsung: 2,4 tỷ</t>
        </r>
      </text>
    </comment>
    <comment ref="D175" authorId="0" shapeId="0">
      <text>
        <r>
          <rPr>
            <b/>
            <sz val="9"/>
            <color indexed="81"/>
            <rFont val="Tahoma"/>
            <family val="2"/>
          </rPr>
          <t>Admin:</t>
        </r>
        <r>
          <rPr>
            <sz val="9"/>
            <color indexed="81"/>
            <rFont val="Tahoma"/>
            <family val="2"/>
          </rPr>
          <t xml:space="preserve">
Trong năm giao bsung: 1.050trđ</t>
        </r>
      </text>
    </comment>
    <comment ref="D176" authorId="0" shapeId="0">
      <text>
        <r>
          <rPr>
            <b/>
            <sz val="9"/>
            <color indexed="81"/>
            <rFont val="Tahoma"/>
            <family val="2"/>
          </rPr>
          <t>Admin:</t>
        </r>
        <r>
          <rPr>
            <sz val="9"/>
            <color indexed="81"/>
            <rFont val="Tahoma"/>
            <family val="2"/>
          </rPr>
          <t xml:space="preserve">
Trong nam giao bsung: 373tr</t>
        </r>
      </text>
    </comment>
    <comment ref="D177" authorId="0" shapeId="0">
      <text>
        <r>
          <rPr>
            <b/>
            <sz val="9"/>
            <color indexed="81"/>
            <rFont val="Tahoma"/>
            <family val="2"/>
          </rPr>
          <t>Admin:</t>
        </r>
        <r>
          <rPr>
            <sz val="9"/>
            <color indexed="81"/>
            <rFont val="Tahoma"/>
            <family val="2"/>
          </rPr>
          <t xml:space="preserve">
Trong nam giao bsung: 2.400trđ</t>
        </r>
      </text>
    </comment>
    <comment ref="B230" authorId="1" shapeId="0">
      <text>
        <r>
          <rPr>
            <b/>
            <sz val="8"/>
            <color indexed="81"/>
            <rFont val="Tahoma"/>
            <family val="2"/>
          </rPr>
          <t>TCT Company:</t>
        </r>
        <r>
          <rPr>
            <sz val="8"/>
            <color indexed="81"/>
            <rFont val="Tahoma"/>
            <family val="2"/>
          </rPr>
          <t xml:space="preserve">
ko có mã CTMT</t>
        </r>
      </text>
    </comment>
    <comment ref="R243" authorId="0" shapeId="0">
      <text>
        <r>
          <rPr>
            <b/>
            <sz val="9"/>
            <color indexed="81"/>
            <rFont val="Tahoma"/>
            <family val="2"/>
          </rPr>
          <t>Admin:</t>
        </r>
        <r>
          <rPr>
            <sz val="9"/>
            <color indexed="81"/>
            <rFont val="Tahoma"/>
            <family val="2"/>
          </rPr>
          <t xml:space="preserve">
Tai BC qtoan theo TT 85/TT-BTC là Hdong kte</t>
        </r>
      </text>
    </comment>
    <comment ref="R244" authorId="0" shapeId="0">
      <text>
        <r>
          <rPr>
            <b/>
            <sz val="9"/>
            <color indexed="81"/>
            <rFont val="Tahoma"/>
            <family val="2"/>
          </rPr>
          <t>Admin:</t>
        </r>
        <r>
          <rPr>
            <sz val="9"/>
            <color indexed="81"/>
            <rFont val="Tahoma"/>
            <family val="2"/>
          </rPr>
          <t xml:space="preserve">
Tai BC qtoan theo TT 85/TT-BTC là Hdong kt</t>
        </r>
      </text>
    </comment>
    <comment ref="R245" authorId="0" shapeId="0">
      <text>
        <r>
          <rPr>
            <b/>
            <sz val="9"/>
            <color indexed="81"/>
            <rFont val="Tahoma"/>
            <family val="2"/>
          </rPr>
          <t>Admin:</t>
        </r>
        <r>
          <rPr>
            <sz val="9"/>
            <color indexed="81"/>
            <rFont val="Tahoma"/>
            <family val="2"/>
          </rPr>
          <t xml:space="preserve">
Cấp 0 đi Chi bảo vệ môi trường, nhưng C4 A Sang nhập về mã ngành 463 (QLNN)</t>
        </r>
      </text>
    </comment>
    <comment ref="D259" authorId="0" shapeId="0">
      <text>
        <r>
          <rPr>
            <b/>
            <sz val="9"/>
            <color indexed="81"/>
            <rFont val="Tahoma"/>
            <family val="2"/>
          </rPr>
          <t>Admin:</t>
        </r>
        <r>
          <rPr>
            <sz val="9"/>
            <color indexed="81"/>
            <rFont val="Tahoma"/>
            <family val="2"/>
          </rPr>
          <t xml:space="preserve">
QĐ 1434 ngày 27/6/2018 bsung KH 2017: 26.851trđ</t>
        </r>
      </text>
    </comment>
    <comment ref="E259" authorId="0" shapeId="0">
      <text>
        <r>
          <rPr>
            <b/>
            <sz val="9"/>
            <color indexed="81"/>
            <rFont val="Tahoma"/>
            <family val="2"/>
          </rPr>
          <t>Admin:</t>
        </r>
        <r>
          <rPr>
            <sz val="9"/>
            <color indexed="81"/>
            <rFont val="Tahoma"/>
            <family val="2"/>
          </rPr>
          <t xml:space="preserve">
Truy vấn xem DA còn ghi thu ghi chi nữa ko</t>
        </r>
      </text>
    </comment>
    <comment ref="D269" authorId="0" shapeId="0">
      <text>
        <r>
          <rPr>
            <b/>
            <sz val="9"/>
            <color indexed="81"/>
            <rFont val="Tahoma"/>
            <family val="2"/>
          </rPr>
          <t>Admin:</t>
        </r>
        <r>
          <rPr>
            <sz val="9"/>
            <color indexed="81"/>
            <rFont val="Tahoma"/>
            <family val="2"/>
          </rPr>
          <t xml:space="preserve">
Quỹ đất doanh nghiệp</t>
        </r>
      </text>
    </comment>
    <comment ref="D270" authorId="0" shapeId="0">
      <text>
        <r>
          <rPr>
            <b/>
            <sz val="9"/>
            <color indexed="81"/>
            <rFont val="Tahoma"/>
            <family val="2"/>
          </rPr>
          <t>Admin:</t>
        </r>
        <r>
          <rPr>
            <sz val="9"/>
            <color indexed="81"/>
            <rFont val="Tahoma"/>
            <family val="2"/>
          </rPr>
          <t xml:space="preserve">
Quỹ đất doanh nghiệp</t>
        </r>
      </text>
    </comment>
    <comment ref="D284" authorId="0" shapeId="0">
      <text>
        <r>
          <rPr>
            <b/>
            <sz val="9"/>
            <color indexed="81"/>
            <rFont val="Tahoma"/>
            <family val="2"/>
          </rPr>
          <t>Admin:</t>
        </r>
        <r>
          <rPr>
            <sz val="9"/>
            <color indexed="81"/>
            <rFont val="Tahoma"/>
            <family val="2"/>
          </rPr>
          <t xml:space="preserve">
Có 760tr bố trí bsung trong năm (QĐ 3264)</t>
        </r>
      </text>
    </comment>
    <comment ref="D291" authorId="0" shapeId="0">
      <text>
        <r>
          <rPr>
            <b/>
            <sz val="9"/>
            <color indexed="81"/>
            <rFont val="Tahoma"/>
            <family val="2"/>
          </rPr>
          <t>Admin:</t>
        </r>
        <r>
          <rPr>
            <sz val="9"/>
            <color indexed="81"/>
            <rFont val="Tahoma"/>
            <family val="2"/>
          </rPr>
          <t xml:space="preserve">
Có 300tr vốn bsung từ nguồn vượt thu quỹ đất</t>
        </r>
      </text>
    </comment>
    <comment ref="D293" authorId="1" shapeId="0">
      <text>
        <r>
          <rPr>
            <b/>
            <sz val="8"/>
            <color indexed="81"/>
            <rFont val="Tahoma"/>
            <family val="2"/>
          </rPr>
          <t>TCT Company:</t>
        </r>
        <r>
          <rPr>
            <sz val="8"/>
            <color indexed="81"/>
            <rFont val="Tahoma"/>
            <family val="2"/>
          </rPr>
          <t xml:space="preserve">
QĐ 833/QĐ-UBND ngày 24/4/2017 (49,6trđ) </t>
        </r>
      </text>
    </comment>
    <comment ref="E293" authorId="0" shapeId="0">
      <text>
        <r>
          <rPr>
            <b/>
            <sz val="9"/>
            <color indexed="81"/>
            <rFont val="Tahoma"/>
            <family val="2"/>
          </rPr>
          <t>Admin:</t>
        </r>
        <r>
          <rPr>
            <sz val="9"/>
            <color indexed="81"/>
            <rFont val="Tahoma"/>
            <family val="2"/>
          </rPr>
          <t xml:space="preserve">
QĐ 833/QĐ-UBND ngày 24/4/2017 (49,6trđ) </t>
        </r>
      </text>
    </comment>
    <comment ref="D295" authorId="0" shapeId="0">
      <text>
        <r>
          <rPr>
            <b/>
            <sz val="9"/>
            <color indexed="81"/>
            <rFont val="Tahoma"/>
            <family val="2"/>
          </rPr>
          <t>Admin:</t>
        </r>
        <r>
          <rPr>
            <sz val="9"/>
            <color indexed="81"/>
            <rFont val="Tahoma"/>
            <family val="2"/>
          </rPr>
          <t xml:space="preserve">
Có 4,3 tỷ vốn bsung từ nguồn vượt thu quỹ đất</t>
        </r>
      </text>
    </comment>
    <comment ref="D296" authorId="0" shapeId="0">
      <text>
        <r>
          <rPr>
            <b/>
            <sz val="9"/>
            <color indexed="81"/>
            <rFont val="Tahoma"/>
            <family val="2"/>
          </rPr>
          <t>Admin:</t>
        </r>
        <r>
          <rPr>
            <sz val="9"/>
            <color indexed="81"/>
            <rFont val="Tahoma"/>
            <family val="2"/>
          </rPr>
          <t xml:space="preserve">
Nguon vuot thu quy dat</t>
        </r>
      </text>
    </comment>
    <comment ref="D297" authorId="0" shapeId="0">
      <text>
        <r>
          <rPr>
            <b/>
            <sz val="9"/>
            <color indexed="81"/>
            <rFont val="Tahoma"/>
            <family val="2"/>
          </rPr>
          <t>Admin:</t>
        </r>
        <r>
          <rPr>
            <sz val="9"/>
            <color indexed="81"/>
            <rFont val="Tahoma"/>
            <family val="2"/>
          </rPr>
          <t xml:space="preserve">
Quỹ đất doanh nghiệp </t>
        </r>
      </text>
    </comment>
    <comment ref="D303" authorId="0" shapeId="0">
      <text>
        <r>
          <rPr>
            <b/>
            <sz val="9"/>
            <color indexed="81"/>
            <rFont val="Tahoma"/>
            <family val="2"/>
          </rPr>
          <t>Admin:</t>
        </r>
        <r>
          <rPr>
            <sz val="9"/>
            <color indexed="81"/>
            <rFont val="Tahoma"/>
            <family val="2"/>
          </rPr>
          <t xml:space="preserve">
Giao bổ sung trong năm 915tr (vốn nước ngoài cấp thanh toán như vốn trong nước)</t>
        </r>
      </text>
    </comment>
    <comment ref="D306" authorId="1" shapeId="0">
      <text>
        <r>
          <rPr>
            <b/>
            <sz val="8"/>
            <color indexed="81"/>
            <rFont val="Tahoma"/>
            <family val="2"/>
          </rPr>
          <t>TCT Company:</t>
        </r>
        <r>
          <rPr>
            <sz val="8"/>
            <color indexed="81"/>
            <rFont val="Tahoma"/>
            <family val="2"/>
          </rPr>
          <t xml:space="preserve">
DT chi khác khối tỉnh (QĐ 844/QĐ-UBND ngày 24/4/2017)</t>
        </r>
      </text>
    </comment>
    <comment ref="D307" authorId="1" shapeId="0">
      <text>
        <r>
          <rPr>
            <b/>
            <sz val="8"/>
            <color indexed="81"/>
            <rFont val="Tahoma"/>
            <family val="2"/>
          </rPr>
          <t>TCT Company:</t>
        </r>
        <r>
          <rPr>
            <sz val="8"/>
            <color indexed="81"/>
            <rFont val="Tahoma"/>
            <family val="2"/>
          </rPr>
          <t xml:space="preserve">
QĐ 3397/QĐ-UBND ngày 8/12/2017</t>
        </r>
      </text>
    </comment>
    <comment ref="B317" authorId="0" shapeId="0">
      <text>
        <r>
          <rPr>
            <b/>
            <sz val="9"/>
            <color indexed="81"/>
            <rFont val="Tahoma"/>
            <family val="2"/>
          </rPr>
          <t>Admin:</t>
        </r>
        <r>
          <rPr>
            <sz val="9"/>
            <color indexed="81"/>
            <rFont val="Tahoma"/>
            <family val="2"/>
          </rPr>
          <t xml:space="preserve">
Cong trinh được bố trí từ nguồn kết dư năm 2016</t>
        </r>
      </text>
    </comment>
    <comment ref="D349" authorId="1" shapeId="0">
      <text>
        <r>
          <rPr>
            <b/>
            <sz val="8"/>
            <color indexed="81"/>
            <rFont val="Tahoma"/>
            <family val="2"/>
          </rPr>
          <t>TCT Company:</t>
        </r>
        <r>
          <rPr>
            <sz val="8"/>
            <color indexed="81"/>
            <rFont val="Tahoma"/>
            <family val="2"/>
          </rPr>
          <t xml:space="preserve">
QĐ đ/c tăng theo  số QĐ 3639</t>
        </r>
      </text>
    </comment>
    <comment ref="D376" authorId="0" shapeId="0">
      <text>
        <r>
          <rPr>
            <b/>
            <sz val="9"/>
            <color indexed="81"/>
            <rFont val="Tahoma"/>
            <family val="2"/>
          </rPr>
          <t>Admin:</t>
        </r>
        <r>
          <rPr>
            <sz val="9"/>
            <color indexed="81"/>
            <rFont val="Tahoma"/>
            <family val="2"/>
          </rPr>
          <t xml:space="preserve">
QĐ 3158 ngày 16/11/2017: 7,5 tỷ</t>
        </r>
      </text>
    </comment>
    <comment ref="D377" authorId="1" shapeId="0">
      <text>
        <r>
          <rPr>
            <b/>
            <sz val="8"/>
            <color indexed="81"/>
            <rFont val="Tahoma"/>
            <family val="2"/>
          </rPr>
          <t>TCT Company:</t>
        </r>
        <r>
          <rPr>
            <sz val="8"/>
            <color indexed="81"/>
            <rFont val="Tahoma"/>
            <family val="2"/>
          </rPr>
          <t xml:space="preserve">
TWHT có địa chỉ (QĐ 1837/QĐ-UBND ngày 04/7/2017): 1,7 tỷ</t>
        </r>
      </text>
    </comment>
    <comment ref="O392" authorId="0" shapeId="0">
      <text>
        <r>
          <rPr>
            <b/>
            <sz val="9"/>
            <color indexed="81"/>
            <rFont val="Tahoma"/>
            <family val="2"/>
          </rPr>
          <t>Admin:</t>
        </r>
        <r>
          <rPr>
            <sz val="9"/>
            <color indexed="81"/>
            <rFont val="Tahoma"/>
            <family val="2"/>
          </rPr>
          <t xml:space="preserve">
Trên tabmis phân bổ đi mã ngành KT 163</t>
        </r>
      </text>
    </comment>
    <comment ref="O395" authorId="0" shapeId="0">
      <text>
        <r>
          <rPr>
            <b/>
            <sz val="9"/>
            <color indexed="81"/>
            <rFont val="Tahoma"/>
            <family val="2"/>
          </rPr>
          <t>Admin:</t>
        </r>
        <r>
          <rPr>
            <sz val="9"/>
            <color indexed="81"/>
            <rFont val="Tahoma"/>
            <family val="2"/>
          </rPr>
          <t xml:space="preserve">
Trên Tabmis có 53,941tr đi mã ngành KT 163</t>
        </r>
      </text>
    </comment>
    <comment ref="D446" authorId="1" shapeId="0">
      <text>
        <r>
          <rPr>
            <b/>
            <sz val="8"/>
            <color indexed="81"/>
            <rFont val="Tahoma"/>
            <family val="2"/>
          </rPr>
          <t>TCT Company:</t>
        </r>
        <r>
          <rPr>
            <sz val="8"/>
            <color indexed="81"/>
            <rFont val="Tahoma"/>
            <family val="2"/>
          </rPr>
          <t xml:space="preserve">
DPNSTW (QĐ 2372/QĐ-UBND ngày 30/8/2017)</t>
        </r>
      </text>
    </comment>
    <comment ref="B448" authorId="1" shapeId="0">
      <text>
        <r>
          <rPr>
            <b/>
            <sz val="8"/>
            <color indexed="81"/>
            <rFont val="Tahoma"/>
            <family val="2"/>
          </rPr>
          <t>TCT Company:</t>
        </r>
        <r>
          <rPr>
            <sz val="8"/>
            <color indexed="81"/>
            <rFont val="Tahoma"/>
            <family val="2"/>
          </rPr>
          <t xml:space="preserve">
ko có mã CTMT</t>
        </r>
      </text>
    </comment>
    <comment ref="B485" authorId="1" shapeId="0">
      <text>
        <r>
          <rPr>
            <b/>
            <sz val="8"/>
            <color indexed="81"/>
            <rFont val="Tahoma"/>
            <family val="2"/>
          </rPr>
          <t>TCT Company:</t>
        </r>
        <r>
          <rPr>
            <sz val="8"/>
            <color indexed="81"/>
            <rFont val="Tahoma"/>
            <family val="2"/>
          </rPr>
          <t xml:space="preserve">
Bố trí KH nhưng đơn vị ko thực hiện nên ko trình nhập DT</t>
        </r>
      </text>
    </comment>
    <comment ref="D513" authorId="1" shapeId="0">
      <text>
        <r>
          <rPr>
            <b/>
            <sz val="8"/>
            <color indexed="81"/>
            <rFont val="Tahoma"/>
            <family val="2"/>
          </rPr>
          <t>TCT Company:</t>
        </r>
        <r>
          <rPr>
            <sz val="8"/>
            <color indexed="81"/>
            <rFont val="Tahoma"/>
            <family val="2"/>
          </rPr>
          <t xml:space="preserve">
QĐ bsung KH 2017 (QĐ 1434 ngày 27/6/2018 (60.738trđ)</t>
        </r>
      </text>
    </comment>
    <comment ref="D534" authorId="0" shapeId="0">
      <text>
        <r>
          <rPr>
            <b/>
            <sz val="9"/>
            <color indexed="81"/>
            <rFont val="Tahoma"/>
            <family val="2"/>
          </rPr>
          <t>Admin:</t>
        </r>
        <r>
          <rPr>
            <sz val="9"/>
            <color indexed="81"/>
            <rFont val="Tahoma"/>
            <family val="2"/>
          </rPr>
          <t xml:space="preserve">
Quỹ đất doanh nghiệp</t>
        </r>
      </text>
    </comment>
    <comment ref="D744" authorId="0" shapeId="0">
      <text>
        <r>
          <rPr>
            <b/>
            <sz val="9"/>
            <color indexed="81"/>
            <rFont val="Tahoma"/>
            <family val="2"/>
          </rPr>
          <t>Admin:</t>
        </r>
        <r>
          <rPr>
            <sz val="9"/>
            <color indexed="81"/>
            <rFont val="Tahoma"/>
            <family val="2"/>
          </rPr>
          <t xml:space="preserve">
KH giao bsung 2017 (QĐ 1434/QĐ-UBND ngày 27/6/2018: 1.508trđ</t>
        </r>
      </text>
    </comment>
  </commentList>
</comments>
</file>

<file path=xl/comments7.xml><?xml version="1.0" encoding="utf-8"?>
<comments xmlns="http://schemas.openxmlformats.org/spreadsheetml/2006/main">
  <authors>
    <author>ADMIN</author>
  </authors>
  <commentList>
    <comment ref="K19" authorId="0" shapeId="0">
      <text>
        <r>
          <rPr>
            <b/>
            <sz val="9"/>
            <color indexed="81"/>
            <rFont val="Tahoma"/>
            <family val="2"/>
          </rPr>
          <t>ADMIN:</t>
        </r>
        <r>
          <rPr>
            <sz val="9"/>
            <color indexed="81"/>
            <rFont val="Tahoma"/>
            <family val="2"/>
          </rPr>
          <t xml:space="preserve">
chi TK 8958, chi đt xã</t>
        </r>
      </text>
    </comment>
  </commentList>
</comments>
</file>

<file path=xl/sharedStrings.xml><?xml version="1.0" encoding="utf-8"?>
<sst xmlns="http://schemas.openxmlformats.org/spreadsheetml/2006/main" count="6033" uniqueCount="2694">
  <si>
    <t>Biểu mẫu số 48</t>
  </si>
  <si>
    <t>(Dùng cho ngân sách các cấp chính quyền địa phương)</t>
  </si>
  <si>
    <t>Đơn vị: Triệu đồng</t>
  </si>
  <si>
    <t>STT</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</si>
  <si>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</si>
  <si>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</si>
  <si>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</si>
  <si>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</si>
  <si>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</si>
  <si>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</si>
  <si>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</si>
  <si>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</si>
  <si>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</si>
  <si>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</si>
  <si>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</si>
  <si>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</si>
  <si>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</si>
  <si>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</si>
  <si>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</si>
  <si>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</si>
  <si>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</si>
  <si>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</si>
  <si>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</si>
  <si>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</si>
  <si>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</si>
  <si>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</si>
  <si>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</si>
  <si>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</si>
  <si>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</si>
  <si>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</si>
  <si>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</si>
  <si>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</si>
  <si>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</si>
  <si>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</si>
  <si>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</si>
  <si>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</si>
  <si>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</si>
  <si>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</si>
  <si>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chuyển nguồn sang năm sau</t>
  </si>
  <si>
    <t>C</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</si>
  <si>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</si>
  <si>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</si>
  <si>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</si>
  <si>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</si>
  <si>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</si>
  <si>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</si>
  <si>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</si>
  <si>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</si>
  <si>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</si>
  <si>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</si>
  <si>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Biểu mẫu số 49</t>
  </si>
  <si>
    <t>Nội dung</t>
  </si>
  <si>
    <t>So sánh (%)</t>
  </si>
  <si>
    <t>Bổ sung cân đối ngân sách</t>
  </si>
  <si>
    <t>Bổ sung có mục tiêu</t>
  </si>
  <si>
    <t>Chi bổ sung có mục tiêu</t>
  </si>
  <si>
    <t>Biểu mẫu số 50</t>
  </si>
  <si>
    <t>Tổng thu NSNN</t>
  </si>
  <si>
    <t>Thu NSĐP</t>
  </si>
  <si>
    <t>5=3/1</t>
  </si>
  <si>
    <t>6=4/2</t>
  </si>
  <si>
    <t>TỔNG NGUỒN THU NSNN (A+B+C+D)</t>
  </si>
  <si>
    <t>TỔNG THU CÂN ĐỐI NSNN</t>
  </si>
  <si>
    <t>Thu nội địa</t>
  </si>
  <si>
    <t>Thu từ khu vực DNNN do địa phương quản lý (2)</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</si>
  <si>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</si>
  <si>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</si>
  <si>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</si>
  <si>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</si>
  <si>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</si>
  <si>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</si>
  <si>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</si>
  <si>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</si>
  <si>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</si>
  <si>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</si>
  <si>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</si>
  <si>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</si>
  <si>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</si>
  <si>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</si>
  <si>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</si>
  <si>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</si>
  <si>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</si>
  <si>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</si>
  <si>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</si>
  <si>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</si>
  <si>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</si>
  <si>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</si>
  <si>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</si>
  <si>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</si>
  <si>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</si>
  <si>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</si>
  <si>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</si>
  <si>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</si>
  <si>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</si>
  <si>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</si>
  <si>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</si>
  <si>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1.1</t>
  </si>
  <si>
    <t>Thuế giá trị gia tăng</t>
  </si>
  <si>
    <t>1.2</t>
  </si>
  <si>
    <t>Thuế thu nhập doanh nghiệp</t>
  </si>
  <si>
    <t>1.3</t>
  </si>
  <si>
    <t>Thuế tiêu thụ đặc biệt hàng hóa, dịch vụ trong nước</t>
  </si>
  <si>
    <t>1.4</t>
  </si>
  <si>
    <t>Thuế tài nguyên</t>
  </si>
  <si>
    <t>1.5</t>
  </si>
  <si>
    <t xml:space="preserve">Thu khác </t>
  </si>
  <si>
    <t>2.1</t>
  </si>
  <si>
    <t>2.2</t>
  </si>
  <si>
    <t>2.3</t>
  </si>
  <si>
    <t>2.4</t>
  </si>
  <si>
    <t>2.5</t>
  </si>
  <si>
    <t>3.1</t>
  </si>
  <si>
    <t>3.2</t>
  </si>
  <si>
    <t>3.3</t>
  </si>
  <si>
    <t>3.4</t>
  </si>
  <si>
    <t>3.5</t>
  </si>
  <si>
    <t>4.1</t>
  </si>
  <si>
    <t>4.2</t>
  </si>
  <si>
    <t>4.3</t>
  </si>
  <si>
    <t>4.4</t>
  </si>
  <si>
    <t>4.5</t>
  </si>
  <si>
    <t>Biểu mẫu số 51</t>
  </si>
  <si>
    <t>3=2/1</t>
  </si>
  <si>
    <t>Chi giáo dục - đào tạo và dạy nghề</t>
  </si>
  <si>
    <t xml:space="preserve">Chi khoa học và công nghệ </t>
  </si>
  <si>
    <t>Trong đó: Chia theo nguồn vốn</t>
  </si>
  <si>
    <t>Trong đó:</t>
  </si>
  <si>
    <t>Chi khoa học và công nghệ</t>
  </si>
  <si>
    <t>VI</t>
  </si>
  <si>
    <t>CHI CHUYỂN NGUỒN SANG NĂM SAU</t>
  </si>
  <si>
    <t>Biểu mẫu số 52</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</si>
  <si>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</si>
  <si>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</si>
  <si>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</si>
  <si>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</si>
  <si>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</si>
  <si>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</si>
  <si>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</si>
  <si>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</si>
  <si>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</si>
  <si>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</si>
  <si>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</si>
  <si>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</si>
  <si>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Biểu mẫu số 53</t>
  </si>
  <si>
    <t>Bao gồm</t>
  </si>
  <si>
    <t>Ngân sách địa phương</t>
  </si>
  <si>
    <t>1=2+3</t>
  </si>
  <si>
    <t>4=5+6</t>
  </si>
  <si>
    <t>7=4/1</t>
  </si>
  <si>
    <t>8=5/2</t>
  </si>
  <si>
    <t>9=6/3</t>
  </si>
  <si>
    <t>CHI CÂN ĐỐI NSĐP</t>
  </si>
  <si>
    <t>Tên đơn vị</t>
  </si>
  <si>
    <t>Tổng số</t>
  </si>
  <si>
    <t>TỔNG SỐ</t>
  </si>
  <si>
    <t>Tổ chức B</t>
  </si>
  <si>
    <t>VII</t>
  </si>
  <si>
    <t>Biểu mẫu số 55</t>
  </si>
  <si>
    <t>Trong đó</t>
  </si>
  <si>
    <t>Chi giao thông</t>
  </si>
  <si>
    <t>Chi nông nghiệp, lâm nghiệp, thủy lợi, thủy sản</t>
  </si>
  <si>
    <t>18=2/1</t>
  </si>
  <si>
    <t>Doanh nghiệp C</t>
  </si>
  <si>
    <t>……..</t>
  </si>
  <si>
    <t>Biểu mẫu số 56</t>
  </si>
  <si>
    <t>18= 2/1</t>
  </si>
  <si>
    <t>Biểu mẫu số 58</t>
  </si>
  <si>
    <t>Tên đơn vị (1)</t>
  </si>
  <si>
    <t>Dự toán (2)</t>
  </si>
  <si>
    <t>Chi CTMTQG</t>
  </si>
  <si>
    <t>Chi giáo dục đào tạo dạy nghề</t>
  </si>
  <si>
    <t>Chi khoa học và công nghệ (3)</t>
  </si>
  <si>
    <t>15= 4/1</t>
  </si>
  <si>
    <t>16= 5/2</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</si>
  <si>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</si>
  <si>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</si>
  <si>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Biểu mẫu số 59</t>
  </si>
  <si>
    <t>So sách (%)</t>
  </si>
  <si>
    <t>Gồm</t>
  </si>
  <si>
    <t>Vốn đầu tư để thực hiện các CTMT, nhiệm vụ</t>
  </si>
  <si>
    <t>Vốn sự nghiệp thực hiện các chế độ, chính sách</t>
  </si>
  <si>
    <t>Vốn thực hiện các CTMT quốc gia</t>
  </si>
  <si>
    <t>Vốn ngoài nước</t>
  </si>
  <si>
    <t>Vốn trong nước</t>
  </si>
  <si>
    <r>
      <t>Ghi chú:</t>
    </r>
    <r>
      <rPr>
        <i/>
        <sz val="10"/>
        <color indexed="8"/>
        <rFont val="Times New Roman"/>
        <family val="1"/>
        <charset val="163"/>
      </rPr>
      <t xml:space="preserve"> (1) Theo quy định tại Điều 7, Điều 39 Luật NSNN, ngân sách huyện, xã không có nhiệm vụ chi nghiên cứu khoa học và công nghệ.</t>
    </r>
  </si>
  <si>
    <t>Biểu mẫu số 60</t>
  </si>
  <si>
    <t>Tổng thu NSĐP</t>
  </si>
  <si>
    <t>Thu NSĐP hưởng theo phân cấp</t>
  </si>
  <si>
    <t>Số bổ sung cân đối từ ngân sách cấp trên</t>
  </si>
  <si>
    <t>Số bổ sung thực hiện cải cách tiền lương</t>
  </si>
  <si>
    <t>Thu từ kết dư năm trước</t>
  </si>
  <si>
    <t>a</t>
  </si>
  <si>
    <t>b</t>
  </si>
  <si>
    <t>Biểu mẫu số 63</t>
  </si>
  <si>
    <t>Tên Quỹ</t>
  </si>
  <si>
    <t>Tổng nguồn vốn phát sinh trong năm</t>
  </si>
  <si>
    <t>Tổng sử dụng nguồn vốn trong năm</t>
  </si>
  <si>
    <t>Chênh lệch nguồn trong năm</t>
  </si>
  <si>
    <t>5=2-4</t>
  </si>
  <si>
    <t>9=6-8</t>
  </si>
  <si>
    <t>10=1+6-8</t>
  </si>
  <si>
    <t>Biểu mẫu số 64</t>
  </si>
  <si>
    <t>(KHÔNG BAO GỒM NGUỒN NGÂN SÁCH NHÀ NƯỚC)</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</si>
  <si>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</si>
  <si>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</si>
  <si>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</si>
  <si>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</si>
  <si>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</si>
  <si>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</si>
  <si>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</si>
  <si>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1.6</t>
  </si>
  <si>
    <t>2.6</t>
  </si>
  <si>
    <t>3.6</t>
  </si>
  <si>
    <t>4.6</t>
  </si>
  <si>
    <t>NỘI DUNG</t>
  </si>
  <si>
    <t>Thu từ thu nhập sau thuế</t>
  </si>
  <si>
    <t>2.7</t>
  </si>
  <si>
    <t>Thu tiền thuê mặt đất, mặt nước, mặt biển</t>
  </si>
  <si>
    <t>Thu tiền cho thuê quầy bán hàng</t>
  </si>
  <si>
    <t>Thu tiền phạt (không kể phạt ATGT, phạt tại xã)</t>
  </si>
  <si>
    <t xml:space="preserve">Thu phạt ATGT </t>
  </si>
  <si>
    <t>Tr.đó: Tịch thu chống lậu</t>
  </si>
  <si>
    <t>Thu tiền bán hàng hoá vật tư dự trữ</t>
  </si>
  <si>
    <t>Thu bán, cho thuê tài sản</t>
  </si>
  <si>
    <t>Thu thanh lý nhà làm việc</t>
  </si>
  <si>
    <t>Thu hồi các khoản chi năm trước</t>
  </si>
  <si>
    <t>Thu khác còn lại (không kể thu khác tại xã)</t>
  </si>
  <si>
    <t>Phí và lệ phí khác hải quan</t>
  </si>
  <si>
    <t>VIII</t>
  </si>
  <si>
    <t>Trong đó: - Thu khác ngân sách trung ương</t>
  </si>
  <si>
    <t>Trong đó: - Giấy phép do Trung ương cấp</t>
  </si>
  <si>
    <t>- Giấy phép do Ủy ban nhân dân cấp tỉnh cấp</t>
  </si>
  <si>
    <t>Thu từ ngân sách cấp dưới nộp lên</t>
  </si>
  <si>
    <t xml:space="preserve">Nội dung </t>
  </si>
  <si>
    <t xml:space="preserve">Ngân sách cấp tỉnh </t>
  </si>
  <si>
    <t xml:space="preserve">Ngân sách huyện </t>
  </si>
  <si>
    <t>QUYẾT TOÁN CHI NGÂN SÁCH ĐỊA PHƯƠNG TỪNG HUYỆN NĂM 2017</t>
  </si>
  <si>
    <t>QUYẾT TOÁN THU NGÂN SÁCH HUYỆN  NĂM 2017</t>
  </si>
  <si>
    <t>TỔNG HỢP CÁC QUỸ TÀI CHÍNH NHÀ NƯỚC NGOÀI NGÂN SÁCH DO ĐỊA PHƯƠNG QUẢN LÝ NĂM 2017</t>
  </si>
  <si>
    <t>Kế hoạch năm 2017</t>
  </si>
  <si>
    <t>Thực hiện năm 2017</t>
  </si>
  <si>
    <t>TỔNG HỢP THU DỊCH VỤ CỦA ĐƠN VỊ SỰ NGHIỆP CÔNG NĂM 2017</t>
  </si>
  <si>
    <t xml:space="preserve">Tên đơn vị </t>
  </si>
  <si>
    <t>Thành phố Đông Hà</t>
  </si>
  <si>
    <t>Thị xã Quảng Trị</t>
  </si>
  <si>
    <t>Huyện Vĩnh Linh</t>
  </si>
  <si>
    <t>Huyện Gio Linh</t>
  </si>
  <si>
    <t>Huyện Hải Lăng</t>
  </si>
  <si>
    <t>Huyện Triệu Phong</t>
  </si>
  <si>
    <t>Huyện Đakrông</t>
  </si>
  <si>
    <t>Huyện Hướng Hóa</t>
  </si>
  <si>
    <t>Huyện Cam Lộ</t>
  </si>
  <si>
    <t>Huyện Đảo Cồn Cỏ</t>
  </si>
  <si>
    <t>Dự phòng</t>
  </si>
  <si>
    <t>Chi từ nguồn BS có mục tiêu NS tỉnh cho NS huyện</t>
  </si>
  <si>
    <t>BỘI CHI NSĐP</t>
  </si>
  <si>
    <t>BỘI THU NSĐP</t>
  </si>
  <si>
    <t>KẾT DƯ NSĐP</t>
  </si>
  <si>
    <t>Chương trình mục tiêu phát triển kinh tế - xã hội vùng</t>
  </si>
  <si>
    <t>Chương trình mục tiêu phát triển kinh tế thuỷ sản bền vững</t>
  </si>
  <si>
    <t>Chương trình hỗ trợ tái cơ cấu kinh tế nông nghiệp và phòng chống giảm nhẹ thiên tái, ổn định đời sống dân cư</t>
  </si>
  <si>
    <t>Chương trình mục tiêu cấp điện nông thôn, miền núi và hải đảo</t>
  </si>
  <si>
    <t>Chương trình mục tiêu đầu tư hạ tầng KKT ven biển, KKT cửa khẩu, KCN, Cụm CN, Khu công nghệ cao, Khu NN ứng dụng công nghệ cao</t>
  </si>
  <si>
    <t>Chương trình mục tiêu phát triển văn hoá</t>
  </si>
  <si>
    <t>Chương trình mục tiêu Quốc phòng an ninh trên địa bàn trọng điểm</t>
  </si>
  <si>
    <t>Chương trình mục tiêu hỗ trợ vốn đối ứng ODA cho các địa phương</t>
  </si>
  <si>
    <t>Chương trình mục tiêu phát triển lâm nghiệp bền vững</t>
  </si>
  <si>
    <t>Các chương trình, mục tiêu, dự án khác</t>
  </si>
  <si>
    <t>Chương trình mục tiêu bố trí lại dân cư &amp; ĐCĐC</t>
  </si>
  <si>
    <t>Chương trình mục tiêu hạ tầng du lịch</t>
  </si>
  <si>
    <t>Chương trình mục tiêu hạ tầng mới chia tách</t>
  </si>
  <si>
    <t>Chương trình giống thủy sản, cây trồng vật nuôi và cây lâm nghiệp</t>
  </si>
  <si>
    <t>Chương trình đầu tư y tế tỉnh, trung tâm y tế dự phòng huyện</t>
  </si>
  <si>
    <t>Hỗ trợ kinh phí khắc phục hậu quả mưa lũ các tỉnh miền Trung</t>
  </si>
  <si>
    <t>Chương trình mục tiêu ứng phó với biến đổi khí hậu và tăng trưởng xanh</t>
  </si>
  <si>
    <t>Chương trình mục tiêu (không có mã CTMT)</t>
  </si>
  <si>
    <t>QUYẾT TOÁN CHI ĐẦU TƯ PHÁT TRIỂN CỦA NGÂN SÁCH CẤP TỈNH (HUYỆN, XÃ) CHO TỪNG CƠ QUAN, TỔ CHỨC THEO LĨNH VỰC NĂM 2017</t>
  </si>
  <si>
    <t>Mã DA</t>
  </si>
  <si>
    <t>NST trong cân đối</t>
  </si>
  <si>
    <t>Nguồn chi khác khối tỉnh (thực hiện 1 số nhiệm vụ có địa chỉ)</t>
  </si>
  <si>
    <t>Quỹ đất</t>
  </si>
  <si>
    <t>XSKT</t>
  </si>
  <si>
    <t>Nguồn thu bán đấu giá trụ sở cũ</t>
  </si>
  <si>
    <t>TWHT có mục tiêu</t>
  </si>
  <si>
    <t>CTMT Quốc gia</t>
  </si>
  <si>
    <t>TPCP</t>
  </si>
  <si>
    <t>Nguồn vay tín dụng ưu đãi</t>
  </si>
  <si>
    <t>Vốn nước ngoài</t>
  </si>
  <si>
    <t>Ban dân tộc</t>
  </si>
  <si>
    <t>Vốn viện trợ CP Ai Len</t>
  </si>
  <si>
    <t>Đường giao thông nội thôn Cợp, xã A Bung, huyện Đakrông</t>
  </si>
  <si>
    <t>Đường giao thông thôn Lền xã Vĩnh Ô, huyện Vĩnh Linh</t>
  </si>
  <si>
    <t>Duy tu, bảo dưỡng đường GT thôn Cóoc, xã Hướng Linh, huyện Hướng Hóa</t>
  </si>
  <si>
    <t>BQL Khu kinh tế tỉnh</t>
  </si>
  <si>
    <t>NSTT</t>
  </si>
  <si>
    <t>Cơ sở hạ tầng Khu A KCN Tây Bắc Hồ Xá (giai đoạn 1)</t>
  </si>
  <si>
    <t>Hệ thống HTKT Khu công nghiệp Tân Thành (giai đoạn 1)</t>
  </si>
  <si>
    <t>Xây dựng CSHT cụm Cửa khẩu thuộc khu Công thương mại - dịch vụ Lao Bảo</t>
  </si>
  <si>
    <t>RPBM, vật liệu nổ để bàn giao mặt bằng sạch cho Công ty TNHH Yangzhou Jinquan Traveliing Goods tại Khu CN Nam Đông Hà</t>
  </si>
  <si>
    <t>XD CSHT kỷ thuật Khu Công nghiệp Nam Đông Hà</t>
  </si>
  <si>
    <t>RPMB, vật nổ phục vụ tái định cư huyện Hải Lăng và huyện Triệu Phong thuộc Khu Kinh tế Đông Nam Quảng Trị</t>
  </si>
  <si>
    <t>CSHT Khu tái định cư Lao Bảo Tân Thành (giai đoạn 2)</t>
  </si>
  <si>
    <t>Hoàn thiện kết cấu hạ tầng kỹ thuật một số tuyến chính tại Khu kinh tế TMĐB Lao Bảo (giai đoạn 2)</t>
  </si>
  <si>
    <t>Hệ thống xử lý nước thải KCN Quán Ngang</t>
  </si>
  <si>
    <t>San nền và hạ tầng kỹ thuật thiết yếu tại Khu vực trung tâm cửa khẩu quốc tế La Lay</t>
  </si>
  <si>
    <t>Duy tu, sửa chữa một số hạng mục cấp thiết tại cửa khẩu Quốc tế Lao Bảo</t>
  </si>
  <si>
    <t>7599881</t>
  </si>
  <si>
    <t>Xây dựng CSHT Khu TĐC Lao Bảo Tân Thành</t>
  </si>
  <si>
    <t>Cải tạo nhà kiểm tra liên hợp hàng hóa nhập khẩu tại CK Lao Bảo</t>
  </si>
  <si>
    <t>Vốn TPCP</t>
  </si>
  <si>
    <t>DA Đường nối khu công nghiệp Đông Nam Quảng Trị đến cảng Cửa Việt (Đường trung tâm trục dọc Khu Kinh tế Đông Nam Quảng Trị)</t>
  </si>
  <si>
    <t>Ban thực hiện đề án phát triển bền vững tiểu vùng sông Mê Kông tỉnh</t>
  </si>
  <si>
    <t>Phát triển du lịch bền vững tiểu vùng sông Mê Kông mở rộng, tỉnh Quảng Trị</t>
  </si>
  <si>
    <t>Bộ Chỉ huy quân sự tỉnh</t>
  </si>
  <si>
    <t>Đường hầm sở chỉ huy thống nhất thời chiến CH5-02</t>
  </si>
  <si>
    <t>Đường cơ động ven biển Hải An - Hải Khê</t>
  </si>
  <si>
    <t>Trung tâm huấn luyện dự bị động viên</t>
  </si>
  <si>
    <t>Xây dựng các công trình, hạng mục phục vụ công tác diễn tập khu vực phòng thủ</t>
  </si>
  <si>
    <t>Rà phá bom mìn, vật nổ còn sót lại sau chiến tranh tại tỉnh Quảng Trị (đợt 2) (theo Quyết định 504/QĐ-TTg ngày 21/4/2010 của Thủ tướng Chính phủ)</t>
  </si>
  <si>
    <t>Bộ Chỉ huy Bộ đội biên phòng</t>
  </si>
  <si>
    <t>Nâng cấp mặt đường từ Sa Trầm xã Ba Nang đi Pa Lin xã A Vao (giai đoạn 2)</t>
  </si>
  <si>
    <t>DA đầu tư bảo vệ và phát triển rừng Khu vực biên giới Đakrông</t>
  </si>
  <si>
    <t>Công ty CP nước sạch Quảng Trị</t>
  </si>
  <si>
    <t>Dự án Hệ thống cấp nước xã Hải Chánh, huyện Hải Lăng (Italia)</t>
  </si>
  <si>
    <t>Công ty CP Tổng công ty thương mại Quảng Trị</t>
  </si>
  <si>
    <t>Xây dựng hạng mục đường giao thông đến hàng rào của DA Trung tâm dịch vụ du lịch Cửa Việt</t>
  </si>
  <si>
    <t>Công ty CP đầu tư Thanh Hoa</t>
  </si>
  <si>
    <t>Đường giao thông đến hàng rào của dự án Nhà máy Thủy điện Khe Giông</t>
  </si>
  <si>
    <t>Công ty TNHH MTV Hợp Thịnh</t>
  </si>
  <si>
    <t>HT đường điện đến trạm biến áp và hệ thống cấp nước ngoài hàng rào dự án Bến cảng số 3 cảng Cửa Việt</t>
  </si>
  <si>
    <t>Công ty TNHH My Anh - Khe Sanh</t>
  </si>
  <si>
    <t>Xây dựng hệ thống cấp điện và trạm biến áp vào dự án trồng cây Mắc ca</t>
  </si>
  <si>
    <t>Công ty TNHH sản xuất thương mại Hưng Phát</t>
  </si>
  <si>
    <t>Hệ thống cấp điện thuộc DA Kho cảng xăng dầu Cửa Việt, huyện Gio Linh</t>
  </si>
  <si>
    <t>Cục Hải quan tỉnh</t>
  </si>
  <si>
    <t>Cải tạo Nhà kiểm soát liên hợp tại cửa khẩu Lao Bảo</t>
  </si>
  <si>
    <t>Đài Phát thanh truyền hình</t>
  </si>
  <si>
    <t>Trung tâm truyền hình kỹ thuật số và một số hạng mục phụ trợ Đài PT-TH tỉnh Quảng Trị</t>
  </si>
  <si>
    <t>Đoàn 337</t>
  </si>
  <si>
    <t>Hổ trợ khai hoang đất sản xuất ruộng lúa nước (Đoàn 337)</t>
  </si>
  <si>
    <t>Nhà thiếu nhi tỉnh</t>
  </si>
  <si>
    <t>Cải tạo nâng cấp tường rào nhà thiếu nhi</t>
  </si>
  <si>
    <t>'Mua sắm trang thiết bị Nhà thiếu nhi Quảng Trị</t>
  </si>
  <si>
    <t>Sở Công thương</t>
  </si>
  <si>
    <t>Duy tu, sửa chữa một số hạng mục xuống cấp trụ sở làm việc của Sở Công Thương</t>
  </si>
  <si>
    <t>Cấp điện nông thôn từ lưới điện quốc gia tỉnh Quảng Trị giai đoạn 2014-2020</t>
  </si>
  <si>
    <t>Sở Lao động, Thương binh &amp; Xã hội</t>
  </si>
  <si>
    <t>Trung tâm Chữa bệnh - Giáo dục - Lao động xã hội tỉnh Quảng Trị</t>
  </si>
  <si>
    <t>Nâng cấp, sửa chữa Khu hành lễ Nghĩa trang Liệt sỹ Quốc gia Đường 9</t>
  </si>
  <si>
    <t>Nâng cấp, tôn tạo Nghĩa trang liệt sỹ Quốc gia Đường 9 - HM: Nâng cấp đường nội bộ nối các khu mộ; XD kè và tường rào bảo vệ; HT điện chiếu sáng các khu mộ và HT chống sét</t>
  </si>
  <si>
    <t>Sở Giao thông vận tải</t>
  </si>
  <si>
    <t>Đề án kiên cố hóa GTNT tỉnh Quảng Trị giai đoạn 2015 - 2020 và kinh phí kiểm tra chất lượng công trình GTNT</t>
  </si>
  <si>
    <t>Tuyến tránh quốc lộ 1A đoạn qua thành phố Đông Hà</t>
  </si>
  <si>
    <t>Đường biên giới Khe Sanh - Sa Trầm (ĐT. 587)</t>
  </si>
  <si>
    <t>Dự án Đường nối Cầu Đại Lộc với Quốc lộ 1A</t>
  </si>
  <si>
    <t>Xây dựng cầu dân sinh và quản lý tài sản địa phương (WB)</t>
  </si>
  <si>
    <t>Đường tránh lũ, cứu hộ, cứu nạn và PTKT, đảm bảo an ninh quốc phòng Vùng ven biển phía Nam tỉnh Quảng Trị</t>
  </si>
  <si>
    <t>Đường vào xã Vĩnh Lâm, huyện Vĩnh Linh</t>
  </si>
  <si>
    <t>Đường Nguyễn Bỉnh Khiêm, thành phố Đông Hà</t>
  </si>
  <si>
    <t>Đường gom qua đường sắt từ xã Hải Trường đến xã Hải Lâm, huyện Hải Lăng</t>
  </si>
  <si>
    <t>XD 2 cụm đèn tín hiệu giao thông: Ngã tư đường Hùng Vương - Nguyễn Huệ và ngã năm đường Lê Lợi - Tôn Thất Thuyết - Ngô Quyền, TP Đông Hà</t>
  </si>
  <si>
    <t>Cầu An Mô mới huyện Triệu Phong</t>
  </si>
  <si>
    <t>Cầu Vĩnh Phước</t>
  </si>
  <si>
    <t>Dây chuyền kiểm định xe cơ giới số 2</t>
  </si>
  <si>
    <t>Cầu Cam Hiếu</t>
  </si>
  <si>
    <t>7313440</t>
  </si>
  <si>
    <t>Cầu sông Hiếu và đường 2 đầu cầu</t>
  </si>
  <si>
    <t>7173521</t>
  </si>
  <si>
    <t>Cầu Cam Hiếu huyện Cam Lộ</t>
  </si>
  <si>
    <t>Đường biên giới từ xã Tân Long đi A Dơi</t>
  </si>
  <si>
    <t>Xây dựng dân sinh và quản lý tài sản địa phương (Dự án LRAMP)</t>
  </si>
  <si>
    <t>Cầu Đại lộc, tỉnh Quảng Trị</t>
  </si>
  <si>
    <t>Đường nối cầu Đại Lộc với QL 1A</t>
  </si>
  <si>
    <t>Sở Giáo dục và Đào tạo</t>
  </si>
  <si>
    <t>Vốn quyết toán DAHT</t>
  </si>
  <si>
    <t>Trường THPT Cửa Việt, huyện Gio Linh</t>
  </si>
  <si>
    <t>Chương trình phát triển giáo dục phổ thông (Nhà học thực hành Trường THPT Hướng Hóa; Nhà học thực hành Trường THPT Chế Lan Viên; Nhà học 3 tầng Trường THPT Lâm Sơn Thủy)</t>
  </si>
  <si>
    <t>Nhà nội trú Trường PTDT nội trú Hướng Hóa</t>
  </si>
  <si>
    <t xml:space="preserve"> Trường THPT Đông Hà ( Nhà hiệu bộ; Nhà đa năng, Nhà học và thực hành)</t>
  </si>
  <si>
    <t>Nhà đa năng, hàng rào Trường THPT Trần Thị Tâm, Hải Lăng</t>
  </si>
  <si>
    <t>7622623</t>
  </si>
  <si>
    <t>Nhà học thực hành, nhà đa năng Trường THPT Lao Bảo</t>
  </si>
  <si>
    <t>7622620</t>
  </si>
  <si>
    <t>Phòng học tầng 3 Trường THPT Nguyễn Huệ, TX Quảng Trị</t>
  </si>
  <si>
    <t>Nhà hiệu bộ các hạng mục phụ trợ, mở rộng khuôn viên, Trường THPT Chế Lan Viên, Cam Lộ</t>
  </si>
  <si>
    <t>Cải tạo Nhà học 4 tầng ( Nhà F), Trường Cao đẳng sư phạm Quảng Trị</t>
  </si>
  <si>
    <t xml:space="preserve"> Tường rào, Kè chắn đất Trường THPT Hướng Phùng, Hướng Hóa</t>
  </si>
  <si>
    <t>Trường THCS Hải Chánh</t>
  </si>
  <si>
    <t>Trường THCS Hội Yên</t>
  </si>
  <si>
    <t>Trường THCS Triệu Trung</t>
  </si>
  <si>
    <t>Trường THCS Gio Mai</t>
  </si>
  <si>
    <t>Nhà nội trú trường PTDT nội trú Hướng Hóa</t>
  </si>
  <si>
    <t xml:space="preserve">Trường THCS Hội Yên </t>
  </si>
  <si>
    <t xml:space="preserve">Trường THCS Gio Mai </t>
  </si>
  <si>
    <t>Sở Nông nghiệp và PTNT</t>
  </si>
  <si>
    <t>Sửa chữa tràn xã lũ Nam Thạch Hãn</t>
  </si>
  <si>
    <t>DA quản lý thiên tai WB5 - TDA: Hợp phần 3: Quản lý rủi ro thiên tai dựa vào cộng đồng (CBDRM)</t>
  </si>
  <si>
    <t>7526282</t>
  </si>
  <si>
    <t>DA quản lý thiên tai WB5 - NC hệ thống hộ Triệu Thượng 1,2</t>
  </si>
  <si>
    <t>7408577</t>
  </si>
  <si>
    <t>DA quản lý thiên tai WB5 - Kè chống xói lở khẩn cấp bờ sông Nại Cửu, xã Triệu Đông</t>
  </si>
  <si>
    <t>7408572</t>
  </si>
  <si>
    <t>DA quản lý thiên tai WB5 - Kè bảo vệ xã Triệu Độ</t>
  </si>
  <si>
    <t>7408583</t>
  </si>
  <si>
    <t>Dự án phục hồi và quản lý bền vững rừng phòng hộ tỉnh Quảng Trị (JICA)</t>
  </si>
  <si>
    <t>7363234</t>
  </si>
  <si>
    <t>DA sửa chữa và nâng cao an toàn đập (WB8)</t>
  </si>
  <si>
    <t>7654883</t>
  </si>
  <si>
    <t>DA cải thiện nông nghiệp có tưới (WB7), tỉnh Quảng Trị</t>
  </si>
  <si>
    <t>7420663</t>
  </si>
  <si>
    <t xml:space="preserve">Di dời dân ra khỏi vùng sụt lún, sạt lỡ đất thôn Tân Hiệp, xã Cam Tuyền, huyện Cam Lộ </t>
  </si>
  <si>
    <t xml:space="preserve">Cơ sở cá giống Long Hưng, xã hải Phú, huyện Hải Lăng </t>
  </si>
  <si>
    <t xml:space="preserve">Sửa chữa, nâng cấp hồ chứa nước Trằm - Lai Bình và Đập Hà, huyện Vĩnh Linh </t>
  </si>
  <si>
    <t>Mở rộng trại chăn nuôi lơn nái ngoại ông bà Đông Hà thuộc TT giống cây trồng vật nuôi</t>
  </si>
  <si>
    <t xml:space="preserve">Cải tạo trại sản xuất giống thủy sản mặn lợ Cửa Tùng và Trại nuôi thực nghiệm giống thủy sản Hiền Lương thuộc TT giống Quảng Trị </t>
  </si>
  <si>
    <t>Trụ sở làm việc Chi cục Thú y tỉnh</t>
  </si>
  <si>
    <t>Dự án Phát triển nông thôn tổng hợp các tỉnh miền Trung</t>
  </si>
  <si>
    <t>Trụ sở Ban quản lý khu bảo tồn thiên nhiên Bắc Hướng Hóa</t>
  </si>
  <si>
    <t>Hệ thống cấp nước sinh hoạt thôn Lâm Xuân, xã Gio Mai huyện Gio Linh</t>
  </si>
  <si>
    <t>Cải tạo, mở rộng trụ sở làm việc Chi cục Phát triển nông thôn tỉnh</t>
  </si>
  <si>
    <t>Cảng cá và khu dịch vụ hậu cần nghề cá đảo Cồn Cỏ (giai đoạn 2)</t>
  </si>
  <si>
    <t>Sửa chữa, khắc phục khẩn cấp cửa ra vào âu tàu Khu neo đậu tránh trú bão đảo Cồn Cỏ</t>
  </si>
  <si>
    <t>Trụ sở Sở Nông nghiệp và PTNT</t>
  </si>
  <si>
    <t>Cải tạo, nâng cấp, mở rộng Trụ sở làm việc của Chi cục Trồng trọt và Bảo vệ thực vật</t>
  </si>
  <si>
    <t>Chương trình MTQG XD Nông thôn mới</t>
  </si>
  <si>
    <t>Hệ thống cấp nước sinh hoạt thôn Lâm Xuân, xã Gio Mai, huyện Gio Linh</t>
  </si>
  <si>
    <t>Khu neo đậu tránh trú bão Cửa Tùng</t>
  </si>
  <si>
    <t>Dự án phát triển cơ sở hạ tầng các vùng nuôi thủy sản tập trung tỉnh Quảng Trị</t>
  </si>
  <si>
    <t>Dự án di dân khẩn cấp ra khỏi vùng ngập lụt và sạt lở bờ sông Thạch Hãn, xã Hải Lệ, thị xã Quảng Trị</t>
  </si>
  <si>
    <t xml:space="preserve">Nâng cấp, cũng cố, sửa chữa hệ thống đê biển tỉnh Quảng Trị </t>
  </si>
  <si>
    <t>DA Hệ thống tưới, tiêu phục vụ sản xuất nông nghiệp tỉnh Quảng Trị (Thay thế và sửa chữa đập cao su đầu mối hệ thống Nam Thạch Hãn; Chi phí giai đoạn lập dự án đầu tư)</t>
  </si>
  <si>
    <t>Nâng cấp trạm bơm Tân Mỹ, xã Vĩnh Giang, huyện Vĩnh Linh</t>
  </si>
  <si>
    <t>7630095</t>
  </si>
  <si>
    <t>Kênh tiêu úng sông Mới  xã Hải Ba, huyện Hải Lăng; xã Triệu Sơn, Triệu Tài, Triệu Trung, huyện Triệu Phong</t>
  </si>
  <si>
    <t>7638003</t>
  </si>
  <si>
    <t>Dự án đầu tư trồng rừng phòng hộ đầu nguồn hồ chứa nước La Ngà</t>
  </si>
  <si>
    <t>Đường lâm nghiệp phục vụ sản xuất vùng nguyên liệu tập trung phát triển trồng rừng thâm canh cây gỗ lớn và PCCCR giai đoạn 2016 - 2020 tỉnh Quảng Trị - HM: Chuẩn bị đầu tư</t>
  </si>
  <si>
    <t>DA đầu tư bảo vệ và phát triển rừng lưu vực sông Bến Hải</t>
  </si>
  <si>
    <t>DA đầu tư bảo vệ và phát triển rừng huyện Vĩnh Linh</t>
  </si>
  <si>
    <t>DA đầu tư bảo vệ và phát triển rừng Khu BTTN Đakrông</t>
  </si>
  <si>
    <t>DA đầu tư bảo vệ và phát triển rừng huyện Triệu Phong</t>
  </si>
  <si>
    <t>DA đầu tư bảo vệ và phát triển rừng huyện Đakrông</t>
  </si>
  <si>
    <t>Nâng cao năng lực phòng cháy, chữa cháy rừng tỉnh Quảng Trị giai đoạn 2016 - 2020</t>
  </si>
  <si>
    <t>Sửa chữa khẩn cấp sạt lở bờ tả sông Sa Lung, xã Vĩnh Thành, huyện Vĩnh Linh</t>
  </si>
  <si>
    <t>Khu neo đậu tránh trú bão Cửa Việt, tỉnh Quảng Trị</t>
  </si>
  <si>
    <t xml:space="preserve">7214465  </t>
  </si>
  <si>
    <t>Kè chống xói lở bờ sông Ô lâu, xã Hải Chánh, huyện Hải Lăng</t>
  </si>
  <si>
    <t xml:space="preserve">7571230  </t>
  </si>
  <si>
    <t>DA Cải thiện nông nghiệp có tưới tỉnh Quảng Trị (WB7)</t>
  </si>
  <si>
    <t xml:space="preserve">7420663  </t>
  </si>
  <si>
    <t>Phục hồi và quản lý bền vững rừng phòng hộ tỉnh Quảng Trị (JICA2)</t>
  </si>
  <si>
    <t>Sở Nội vụ</t>
  </si>
  <si>
    <t>Hoàn thiện, hiện đại hóa hồ sơ, bản đồ địa giới hành chính và xây dựng cơ sở dữ liệu về địa giới hành chính các cấp tỉnh Quảng Trị</t>
  </si>
  <si>
    <t>Sở Ngoại vụ</t>
  </si>
  <si>
    <t>DA Nâng cao năng lực đào tạo vật lý trị liệu miền trung Việt Nam giai đoạn 2017 - 2019</t>
  </si>
  <si>
    <t>DA Chương trình PT vùng và tài chính vi mô do World vison tài trợ</t>
  </si>
  <si>
    <t>DA Đội rà phá bom mìn lưu động EOD giai đoạn 2016-2020</t>
  </si>
  <si>
    <t>DA Hỗ trợ cơ sở dữ liệu hoạt động bom mìn tại tỉnh Quảng Trị Giai đoạn 2</t>
  </si>
  <si>
    <t>Xây dựng Trường Tiểu học Triệu Tài, huyện Triệu phong</t>
  </si>
  <si>
    <t>Trường TH bản Hin Xa Ngom, tỉnh Savannakhet, nước Lào</t>
  </si>
  <si>
    <t>Trạm kiểm soát cửa khẩu phụ A Xóc, tỉnh Salavan nước Lào</t>
  </si>
  <si>
    <t>Sở Kế hoạch và Đầu tư</t>
  </si>
  <si>
    <t>Chương trình Hạnh phúc tỉnh Quảng Trị giai đoạn 2</t>
  </si>
  <si>
    <t>Xây dựng danh mục các thủ tục hành chính trong vận động, quản lý và sử dụng nguồn vốn ODA và vốn vay ưu đãi của nhà tài trợ nước ngoài theo Nghị định số 16/2016/NĐ-CP ngày 16/3/2016 của Chính phủ</t>
  </si>
  <si>
    <t>Dự án nâng cao năng lực cộng đồng thích ứng và giảm nhẹ tác động biến đổi khí hậu tại các địa bàn dễ bị tổn thương của tỉnh Quảng Trị</t>
  </si>
  <si>
    <t>Dự án Phát triển các đô thị dọc hành lang tiểu vùng sông Mê Kông</t>
  </si>
  <si>
    <t>DA HTKT "Hạ tầng cơ bản cho phát triển toàn diện các tỉnh: Nghệ An, Hà Tĩnh, Quảng Bình và Quảng Trị"</t>
  </si>
  <si>
    <t>7576056</t>
  </si>
  <si>
    <t>Lập thiết kế chi tiết và các công việc chuẩn bị trước thuộc DA Hạ tầng cơ bản cho phát triển toàn diện tỉnh Quảng Trị</t>
  </si>
  <si>
    <t>7663996</t>
  </si>
  <si>
    <t>Cải tạo trụ sở làm việc Sở Kế hoạch và Đầu tư</t>
  </si>
  <si>
    <t>Phát triển các đô thị dọc hành lang tiểu vùng sông Mê Kông (GMS)</t>
  </si>
  <si>
    <t xml:space="preserve">7411898  </t>
  </si>
  <si>
    <t>Trụ sở làm việc Sở Kế hoạch &amp; Đầu tư Quảng Trị</t>
  </si>
  <si>
    <t>Trụ sở Sở Kế hoạch và Đầu tư</t>
  </si>
  <si>
    <t>Chương trình Hạnh phúc tỉnh Quảng Trị</t>
  </si>
  <si>
    <t>Dự án Hỗ trợ sinh kế cho các đô thị dọc hành lang tiểu vùng sông Mê Kông (ADB)</t>
  </si>
  <si>
    <t>Sở Khoa học và Công nghệ</t>
  </si>
  <si>
    <t>Trung tâm phát triển công nghệ sinh học</t>
  </si>
  <si>
    <t>Trạm ứng dụng khoa học công nghệ Bắc Hướng Hóa</t>
  </si>
  <si>
    <t>Thiết bị đo lường thử nghiệm phụ vụ kiểm tra chất lượng hàng hóa tại khu kinh tế thương mại đặc biệt Lao Bảo và trên địa bàn tỉnh Quảng Trị</t>
  </si>
  <si>
    <t xml:space="preserve">Sửa chữa, nâng cấp Trụ sở Trung tâm Đo Lường Chất lượng sản phẩm </t>
  </si>
  <si>
    <t>Sửa chữa Trạm ứng dụng nghiên cứu thực nghiệm và phát triển nấm thuộc TT ứng dụng KHCN Cam Lộ</t>
  </si>
  <si>
    <t>Thiết bị đo lường thử nghiệm phục vụ kiểm tra chất lượng hàng hóa tại khu Kinh tế TM đặc biệt Lao Bảo và trên địa bàn tỉnh Quảng Trị</t>
  </si>
  <si>
    <t>Sở Thông tin và truyền thông</t>
  </si>
  <si>
    <t>Chính quyền điện tử tỉnh Quảng Trị</t>
  </si>
  <si>
    <t>Cải tạo, sửa chữa trụ sở làm việc Sở Thông tin và Truyền thông</t>
  </si>
  <si>
    <t>Đầu tư phần mềm ứng dụng một cửa điện tử và cơ sở dữ liệu phát triển kinh tế - xã hội tỉnh Quảng Trị</t>
  </si>
  <si>
    <t>Sở Tài nguyên và môi trường</t>
  </si>
  <si>
    <t>Dự án Tăng cường quản lý đất đai và cơ sở dữ liệu đất đai tỉnh Quảng Trị</t>
  </si>
  <si>
    <t>Khu đô thị Nam Đông Hà giai đoạn 3</t>
  </si>
  <si>
    <t xml:space="preserve">Sửa chữa, nâng cấp một số đoạn cấp bách Kè biển Cửa Tùng, huyện Vĩnh Linh </t>
  </si>
  <si>
    <t>Mở rộng, kéo dài tuyến đường Nam cầu Vĩnh Phước</t>
  </si>
  <si>
    <t>Sửa chữa trụ sở Sở Tài nguyên và Môi trường</t>
  </si>
  <si>
    <t>Trung tâm quan trắc môi trường</t>
  </si>
  <si>
    <t>Đường xung quanh Trung tâm Dịch vụ - Hội nghị tỉnh</t>
  </si>
  <si>
    <t>Đường vành đai cứu hộ, cứu nạn phía Tây TP. Đông Hà (giai đoạn 1)</t>
  </si>
  <si>
    <t>Khu đô thị tái định cư Nam Đông Hà giai đoạn 1</t>
  </si>
  <si>
    <t>Khu đô thị Đông đường Thành Cổ</t>
  </si>
  <si>
    <t>Quy hoạch chi tiết xây dựng tỷ lệ 1/500 Khu đô thị Bắc sông Hiếu giai đoạn 2</t>
  </si>
  <si>
    <t>Đường vào Trụ sở Đảng ủy Khối các cơ quan tỉnh</t>
  </si>
  <si>
    <t>Đường vào  Trung tâm Chữa bệnh - Giáo dục - Lao động xã hội tỉnh</t>
  </si>
  <si>
    <t>Công viên trung tâm thành phố Đông Hà</t>
  </si>
  <si>
    <t>Dự án Vỉa hè đường vào trụ sở Đảng ủy khối các cơ quan tỉnh</t>
  </si>
  <si>
    <t>Bồi thường, hỗ trợ chi phí đầu tư xây dựng khi thu hồi đất đã giao cho Công ty CP Triệu Duy tại đường 9D</t>
  </si>
  <si>
    <t>Xây dựng cơ sở hạ tầng Khu vực Bắc Sông Hiếu</t>
  </si>
  <si>
    <t xml:space="preserve">7539183  </t>
  </si>
  <si>
    <t>Trụ sở làm việc Trung tâm kỹ thuật tài nguyên và môi trường</t>
  </si>
  <si>
    <t>Phục hồi và phát triển bền vững hệ sinh thái rừng ngập mặn gắn liền với sinh kế bền vững tại khu vực hạ lưu sông Bến Hải, sông Thạch Hãn nhằm ứng phó với BĐKH</t>
  </si>
  <si>
    <t>Sở Tài chính</t>
  </si>
  <si>
    <t>Ứng dụng công nghệ thông tin và công tác quản lý tài chính tỉnh Quảng Trị giai , đoạn 2015 - 2017, định hướng đến năm 2020</t>
  </si>
  <si>
    <t>Cải tạo, nâng cấp cổng - tường rào - nhà trực Sở Tài chính</t>
  </si>
  <si>
    <t>Sở Tư pháp</t>
  </si>
  <si>
    <t>Sửa chữa trụ sở làm việc Sở Tư pháp (40 Trần Hưng Đạo)</t>
  </si>
  <si>
    <t>7647367</t>
  </si>
  <si>
    <t>Sở Văn hóa, Thể thao và Du lịch</t>
  </si>
  <si>
    <t>Bảo tồn, tôn tạo khu di tích đôi bờ Hiền Lương- Bến Hải</t>
  </si>
  <si>
    <t>Bảo tồn bản truyền thống Kalu, dân tộc Bru- Vân Kiều, xã Đakrông, huyện Đakrông</t>
  </si>
  <si>
    <t>Sửa chữa, nâng cấp kè địa đạo Vịnh Mốc, huyện Vĩnh Linh</t>
  </si>
  <si>
    <t>Tuyến đường phía Bắc khu Dịch vụ - Du lịch tổng hợp Gio Hải thuộc Khu DV-DL dọc tuyến đường ven biển Cửa Tùng - Cửa Việt (giai đoạn 2)</t>
  </si>
  <si>
    <t>Sửa chữa Nhà trưng bày và Nhà tưởng niệm thuộc DA Bảo tồn, tôn tạo di tích Khu lưu niệm Tổng Bí thư Lê Duẩn (GĐ 2)</t>
  </si>
  <si>
    <t>Sửa chữa nhà trưng bày và nhà tưởng niệm thuộc DA Bảo tồn tôn tạo di tích khu lưu niệm TBT Lê Duẩn huyện Triệu Phong</t>
  </si>
  <si>
    <t>Sửa chữa hệ thống dàn mái khán đài A và sơn sửa khán đài A, B sân vận động Đông Hà</t>
  </si>
  <si>
    <t>Nhà trưng bày di tích địa đạo Vĩnh Mốc, huyện Vĩnh Linh</t>
  </si>
  <si>
    <t>Bảo tồn, phục dựng và tôn tạo một số hạng mục di tích Nhà đày Lao Bảo, Hướng Hóa</t>
  </si>
  <si>
    <t>Sở Y tế</t>
  </si>
  <si>
    <t>Phòng khám đa khoa Khu vực Tà Rụt</t>
  </si>
  <si>
    <t>Dự án đầu tư mua sắm trang thiết bị y tế Bệnh viện Đa khoa tỉnh Quảng Trị</t>
  </si>
  <si>
    <t>Hỗ trợ xử lý chất thải bệnh viện, tỉnh Quảng Trị (Hỗ trợ xử lý chất thải rắn y tế nguy hại theo mô hình cụm bệnh viện tại BV đa khoa tỉnh Quảng Trị; tại BV đa khoa khu vực Triệu Hải; tại Trung tâm Y tế huyện Vĩnh Linh)</t>
  </si>
  <si>
    <t>7542311</t>
  </si>
  <si>
    <t>Bệnh viện điều dưỡng và phục hồi chức năng Cửa Tùng</t>
  </si>
  <si>
    <t>Phòng khám khu vực Bồ Bản</t>
  </si>
  <si>
    <t>Nhà hành chính Bệnh viện đa khoa khu vực Triệu Hải</t>
  </si>
  <si>
    <t>Nâng cấp Trung tâm truyền thông giáo dục sức khỏe</t>
  </si>
  <si>
    <t>Trung tâm giám định Y khoa tỉnh</t>
  </si>
  <si>
    <t>Cơ sở cấp phát thuốc Methadone Trung tâm Y tế thị xã Quảng Trị</t>
  </si>
  <si>
    <t>Cải tạo, mở rộng phòng QLSK cán bộ</t>
  </si>
  <si>
    <t>Hỗ trợ mua máy siêu âm cho Trạm Y tế xã Vĩnh Ô huyện Vĩnh Linh</t>
  </si>
  <si>
    <t>DA hỗ trợ y tế Bắc Trung Bộ</t>
  </si>
  <si>
    <t>Đơn nguyên chống nhiểm khuẩn - Bệnh viện đa khoa huyện Cam Lộ</t>
  </si>
  <si>
    <t>Dự án Nâng cấp cơ sở vật chất ngành y tế tỉnh Quảng Trị</t>
  </si>
  <si>
    <t>DA đầu tư mua sắm trang thiết bị bệnh viện tỉnh Quảng Trị</t>
  </si>
  <si>
    <t>Nâng cấp Bệnh viện điều dưỡng - phục hồi chức năng Cửa Tùng</t>
  </si>
  <si>
    <t>Phòng khám đa khoa khu vực Tà Rụt</t>
  </si>
  <si>
    <t>DA Hỗ trợ xử lý chất thải bệnh viện</t>
  </si>
  <si>
    <t>Sở Xây dựng</t>
  </si>
  <si>
    <t>Phòng LAS-XD tại Trung tâm Quy hoạch và kiểm định xây dựng tỉnh Quảng Trị</t>
  </si>
  <si>
    <t>Tạp chí Cửa Việt</t>
  </si>
  <si>
    <t>Sửa chữa trụ sở làm việc Tạp chí Cửa Việt</t>
  </si>
  <si>
    <t>Trường Cao đẳng y tế</t>
  </si>
  <si>
    <t>Giảng đường đa năng Trường Cao đẳng y tế</t>
  </si>
  <si>
    <t>Trường Chính trị Lê Duẩn</t>
  </si>
  <si>
    <t>Cải tạo nhà nội trú Trường chính trị Lê Duẩn</t>
  </si>
  <si>
    <t>Hội Văn học nghệ thuật tỉnh</t>
  </si>
  <si>
    <t>Trụ sở Hội văn học nghệ thuật tỉnh</t>
  </si>
  <si>
    <t>Đảng ủy khối các cơ quan tỉnh</t>
  </si>
  <si>
    <t>Trụ sở làm việc Đảng ủy khối các cơ quan tỉnh Quảng Trị</t>
  </si>
  <si>
    <t>Văn phòng Tỉnh ủy</t>
  </si>
  <si>
    <t>Nâng cấp, phát triển hệ thống công nghệ thông tin trong các cơ quan Đảng tỉnh Quảng Trị, giai đoạn 2013-2015</t>
  </si>
  <si>
    <t>7454367</t>
  </si>
  <si>
    <t>Văn phòng UBND tỉnh</t>
  </si>
  <si>
    <t>Cải tạo, nâng tầng Nhà hành chính trụ sở UBND tỉnh (để bố trí cho trung tâm tin học làm việc)</t>
  </si>
  <si>
    <t>Hội trường UBND tỉnh Quảng Trị</t>
  </si>
  <si>
    <t>Cải tạo phòng họp UBND tỉnh Quảng Trị</t>
  </si>
  <si>
    <t>UBND huyện Cam Lộ</t>
  </si>
  <si>
    <t>Trường mầm non Hoa Sen xã Cam Thủy, huyện Cam Lộ</t>
  </si>
  <si>
    <t>Trường Tiểu học Lê Văn Tám</t>
  </si>
  <si>
    <t>Trường THCS Lê Hồng Phong</t>
  </si>
  <si>
    <t>Trường THCS Tôn Thất Thuyết</t>
  </si>
  <si>
    <t>Trường Tiểu học Nguyễn Bá Ngọc</t>
  </si>
  <si>
    <t>Trường Mầm non Hoa Hồng</t>
  </si>
  <si>
    <t>Trường THCS Lê Thế Hiếu</t>
  </si>
  <si>
    <t>Nạo vét và kè chống xói lở khẩn cấp sông Hiếu đoạn cầu Đuồi</t>
  </si>
  <si>
    <t>Sửa chữa, nâng cấp hồ Trọt Đâu - Trọt Đen, xã Cam Tuyền, huyện Cam Lộ (giai đoạn 1)</t>
  </si>
  <si>
    <t>Đường vào sân vận động huyện Cam Lộ</t>
  </si>
  <si>
    <t>Xây dựng kết cấu hạ tầng cụm làng nghề dịch vụ Tân Định, Cam Lộ</t>
  </si>
  <si>
    <t>Đường liên xã Cam Chính-Cam Nghĩa, huyện Cam Lộ</t>
  </si>
  <si>
    <t>Sửa chữa, nâng cấp hệ thống tiêu úng Bàu Su, xã Cam Tuyền</t>
  </si>
  <si>
    <t>CSHT cụm Công nghiệp Cam Hiếu</t>
  </si>
  <si>
    <t>Chợ khu vực Cùa</t>
  </si>
  <si>
    <t>Trụ sở xã Cam Thủy</t>
  </si>
  <si>
    <t>7461180</t>
  </si>
  <si>
    <t>Trụ sở xã Cam Tuyền</t>
  </si>
  <si>
    <t xml:space="preserve">Trụ sở huyện ủy huyện Cam Lộ </t>
  </si>
  <si>
    <t>Nhà thiếu nhi Cam Lộ</t>
  </si>
  <si>
    <t xml:space="preserve">Nhà thiếu nhi Cam Lộ. Hạng mục: Lát gạch sân chơi, đường dạo, điện sân vườn và nhà để xe </t>
  </si>
  <si>
    <t>Sửa chữa hệ thống điện chiếu sáng trung tâm thị trấn Cam Lộ</t>
  </si>
  <si>
    <t>Đường tránh lũ, cứu nạn, cứu hộ và phục vụ dân sinh xã Cam Thủy, huyện Cam Lộ</t>
  </si>
  <si>
    <t>Đường vào xã Cam Thành, huyện Cam Lộ</t>
  </si>
  <si>
    <t xml:space="preserve">Hệ thống giao thông vùng nguyên liệu cây con chủ lực huyện Cam Lộ </t>
  </si>
  <si>
    <t>Đường liên xã Cam Thành - Thị trấn Cam Lộ, huyện Cam Lộ</t>
  </si>
  <si>
    <t>Kè chống xói lỡ kh/cấp, chỉnh dòng chảy, đập dâng tích nước Thượng Lâm, tuyến đường ứng cứu, ổn định dân cư phát triển kinh tế 2 bên bờ sông Cam Lộ</t>
  </si>
  <si>
    <t xml:space="preserve"> Bê tông hóa đường GT nội thôn Tân xuân 2 </t>
  </si>
  <si>
    <t>7602042</t>
  </si>
  <si>
    <t>Bê tông hóa GT thôn Thượng lâm-Cam thành</t>
  </si>
  <si>
    <t>7602048</t>
  </si>
  <si>
    <t>Bê tông hóa GT thôn Tân trang-Cam thành</t>
  </si>
  <si>
    <t>7602050</t>
  </si>
  <si>
    <t xml:space="preserve">Hệ thống cấp nước SH thôn Thượng Lâm. </t>
  </si>
  <si>
    <t>7604772</t>
  </si>
  <si>
    <t>UBND huyện đảo Cồn Cỏ</t>
  </si>
  <si>
    <t>Hệ thống cấp nước tập trung huyện đảo Cồn Cỏ</t>
  </si>
  <si>
    <t>Cột cờ Tổ quốc trên đảo Cồn Cỏ</t>
  </si>
  <si>
    <t>UBND huyện Đakrông</t>
  </si>
  <si>
    <t xml:space="preserve"> Trường Tiểu học Ba Nang (Thôn Ngược)</t>
  </si>
  <si>
    <t>Trường PTDT bán trú THCS Ba Nang</t>
  </si>
  <si>
    <t xml:space="preserve"> Trường Tiểu học A Bung  (thôn Cu Tài 2)</t>
  </si>
  <si>
    <t>Trường Mầm non Triệu Nguyên. Hạng mục 04 phòng học</t>
  </si>
  <si>
    <t>Trường Mầm non Hướng Hiệp, thôn Hà Bạc. Hạng mục 04 phòng học</t>
  </si>
  <si>
    <t>Trường Tiểu học thị trấn Krông Klang. Hạng mục 08 phòng học</t>
  </si>
  <si>
    <t>Trường PTDT bán trú Tà Long</t>
  </si>
  <si>
    <t>7632711</t>
  </si>
  <si>
    <t>Kè chống xói lở bờ sông Ba Lòng huyện Đakrông</t>
  </si>
  <si>
    <t>ĐCĐC tập trung vùng Ba Linh xã A Vao, H.Đakrông</t>
  </si>
  <si>
    <t>Trụ sở xã Mò Ó</t>
  </si>
  <si>
    <t>Trụ sở làm việc UBND xã Ba Nang</t>
  </si>
  <si>
    <t xml:space="preserve"> Nhà văn hóa truyền thống các dân tộc Vân kiều và Pa Kô, huyện Đakrông</t>
  </si>
  <si>
    <t>Cải tạo, nâng cấp Bệnh viện đa khoa huyện Đakrông</t>
  </si>
  <si>
    <t>Thao trường bắn tổng hợp huyện Đakrông</t>
  </si>
  <si>
    <t>Đường liên thôn Tân Đi 1 - Tân Đi 3</t>
  </si>
  <si>
    <t>Đường liên xã Đakrông - Mò Ó - Triệu Nguyên - Ba Lòng, huyện Đakrông (GĐ 1)</t>
  </si>
  <si>
    <t>Dự án đầu tư xây dựng khu TĐC di dân khẩn cấp, ổn định dân cư, định cư ra khỏi vùng lũ ống, lũ quét và sạt lỡ Tà Rụt, huyện Đakrông (giai đoạn 1)</t>
  </si>
  <si>
    <t>ĐCĐC tập trung vùng T'Rơ- A Đu xã Tà Long, huyện ĐakRông</t>
  </si>
  <si>
    <t xml:space="preserve">7497889  </t>
  </si>
  <si>
    <t>Trường MN Hướng Hiệp, thôn Kreng</t>
  </si>
  <si>
    <t>Trường MN Hướng Hiệp, thôn Khe Hiên</t>
  </si>
  <si>
    <t>Trường MN số 1 Đakrông, thôn Xa Lăng</t>
  </si>
  <si>
    <t>Trường Mẫu giáo số 2 Đakrông, thôn Cu Pô</t>
  </si>
  <si>
    <t>Trường MN Ba Nang, thôn Tà Rẹc</t>
  </si>
  <si>
    <t>Trường MN Ba Nang, thôn A La</t>
  </si>
  <si>
    <t>Trường MN Tà Long, thôn A Đu</t>
  </si>
  <si>
    <t xml:space="preserve">Trường MN số 1 Đakrông </t>
  </si>
  <si>
    <t>Trường MN Húc Nghì</t>
  </si>
  <si>
    <t>Trường MN A Bung</t>
  </si>
  <si>
    <t xml:space="preserve">Trường MN Tà Long </t>
  </si>
  <si>
    <t>Trường MN Tà Rụt</t>
  </si>
  <si>
    <t>Trường MN A Vao</t>
  </si>
  <si>
    <t>Trường TH A Vao</t>
  </si>
  <si>
    <t>Trường TH số 1 Đakrông</t>
  </si>
  <si>
    <t>Trường TH Húc Nghì</t>
  </si>
  <si>
    <t>Trường TH Tà Long</t>
  </si>
  <si>
    <t>Đường Nà Nẩm Triệu Nguyên</t>
  </si>
  <si>
    <t>Nhà văn hóa xã Hải Phúc - HM: Hội trường và sân bê tông</t>
  </si>
  <si>
    <t>Đường GT nội thôn Vân Vận Ba Lòng</t>
  </si>
  <si>
    <t>Đường GT thôn A Đeng-A Ngo</t>
  </si>
  <si>
    <t>Đường tư cầu tràn đên Khe Su-Hải Phúc</t>
  </si>
  <si>
    <t>Đường GT nội thôn Đá Bàn-Ba Nang</t>
  </si>
  <si>
    <t>Đường GT nội đồng xã Triệu Nguyên</t>
  </si>
  <si>
    <t>UBND TP Đông Hà</t>
  </si>
  <si>
    <t>Nhà đa chức năng trường Tiểu học Phan Bội Châu</t>
  </si>
  <si>
    <t>Trường Mầm Non Phường 4</t>
  </si>
  <si>
    <t>Nhà học Trường Tiểu học Hoàng Hoa Thám</t>
  </si>
  <si>
    <t>Nhà học Trường Tiểu học Đông Lễ</t>
  </si>
  <si>
    <t>Trường THCS Trần Hưng Đạo</t>
  </si>
  <si>
    <t>Trường Tiểu học Phan Bội Châu</t>
  </si>
  <si>
    <t>Trường Tiểu học Hàm Nghi</t>
  </si>
  <si>
    <t>Chuẩn bị mặt bằng xây dựng Chợ Phường 3, thành phố Đông Hà thuộc dự án Hỗ trợ sinh kế cho các đô thị dọc hành lang tiểu vùng sông Mê Kông</t>
  </si>
  <si>
    <t>Hội thảo xây dựng định hướng điều chỉnh quy hoạch chung thành phố Đông Hà</t>
  </si>
  <si>
    <t>XD CSHT khu TĐC Bắc Sông Hiếu</t>
  </si>
  <si>
    <t>7314838</t>
  </si>
  <si>
    <t>XD CSHT khu dân cư đường Thanh Niên</t>
  </si>
  <si>
    <t>7559832</t>
  </si>
  <si>
    <t>XD CSHT Khu dân cư Đồng Soi</t>
  </si>
  <si>
    <t>7559829</t>
  </si>
  <si>
    <t>Kè chống xói lỡ khẩn cấp bờ sông Thạch Hãn-đoạn từ sông Hiếu đến cầu Lai Phước - TP Đông Hà  (Đoạn từ K2+700 đến K4+104,13)</t>
  </si>
  <si>
    <t>Kè chống xói lở hai bờ Sông Hiếu thành phố Đông Hà (GĐ 2)</t>
  </si>
  <si>
    <t>7047773</t>
  </si>
  <si>
    <t>CSHT cụm Công nghiệp Quốc lộ 9D</t>
  </si>
  <si>
    <t>Xây dựng Cột bảng điện tử tại ngã tư đường Hùng Vương- Lý Thường Kiệt, Thành phố Đông Hà</t>
  </si>
  <si>
    <t>Xây dựng hệ thống đường giao thông thành phố Đông Hà</t>
  </si>
  <si>
    <t>Đường nối từ đường Hàm Nghi qua Trường tiểu học Hàm Nghi đến đường Lý Thường Kiệt, TP Đông Hà (giai đoạn 2)</t>
  </si>
  <si>
    <t>Đường Lai Phước - Tân Vĩnh, TP Đông Hà</t>
  </si>
  <si>
    <t>Đường nối từ đường Lê Thế Tiết đến đường Hàn Thuyên</t>
  </si>
  <si>
    <t>Vườn hoa cây xanh trước trụ sở Tỉnh ủy</t>
  </si>
  <si>
    <t>Cầu sông Hiếu và đường hai đầu cầu - Hạng mục: đền bù GPMB</t>
  </si>
  <si>
    <t>'Xây dựng CSHT khu tái định cư đường Trần Bình Trọng</t>
  </si>
  <si>
    <t>Hệ thống tiêu úng Đông Lương, Đông Lễ, thành phố Đông Hà</t>
  </si>
  <si>
    <t>Nhà văn hóa Trung tâm Thành phố Đông Hà</t>
  </si>
  <si>
    <t>Dự án Thoát nước, thu gom và xử lý nước thải thành phố Đông Hà</t>
  </si>
  <si>
    <t>GPMB khu tái định cư đồng bào dân tộc di dời thực hiện DA cơ sở hạ tầng cụm cửa khẩu mở rộng</t>
  </si>
  <si>
    <t>Xữ lý các nút giao thông nguy hiểm, tạo cảnh quan đô thị thành phố Đông Hà</t>
  </si>
  <si>
    <t>Đường &amp; Khu DC 2 bên đường Lê lợi nối dài</t>
  </si>
  <si>
    <t xml:space="preserve">7043097  </t>
  </si>
  <si>
    <t>UBND huyện Hải Lăng</t>
  </si>
  <si>
    <t>Trung tâm bồi dưỡng chính trị huyện Hải Lăng</t>
  </si>
  <si>
    <t>Trường Mầm non Thị trấn Hải Lăng</t>
  </si>
  <si>
    <t>Trường Tiểu học Hải Phú</t>
  </si>
  <si>
    <t>Trường Tiểu học Hải Chánh số 2</t>
  </si>
  <si>
    <t>Trường THCS Hải Xuân</t>
  </si>
  <si>
    <t>Trường Mầm non Hải Chánh</t>
  </si>
  <si>
    <t>Kè chống xói lở xã Hải Sơn, huyện Hải lăng</t>
  </si>
  <si>
    <t>Nâng cấp đê cát Hải Dương thuộc tuyến đê cát hải Lăng</t>
  </si>
  <si>
    <t xml:space="preserve">Đê tiêu thủy Hải Ba thuộc Đê cát Hải Lăng </t>
  </si>
  <si>
    <t>Nâng cấp đê cát Hải Quế - Hải An thuộc tuyến đê cát Hải Lăng</t>
  </si>
  <si>
    <t xml:space="preserve">Đường Phú Lệ A thuộc dự án đầu tư xây dựng công trình Đường Phú Lệ, huyện Hải Lăng </t>
  </si>
  <si>
    <t>Chợ Hải Hòa, huyện Hải Lăng</t>
  </si>
  <si>
    <t>Chợ Hải Dương, huyện Hải Lăng</t>
  </si>
  <si>
    <t>Đường dân sinh Hải Quế - Hải Dương, huyện Hải Lăng (xử lý tranh chấp địa giới hành chính 2 xã)</t>
  </si>
  <si>
    <t>Kè chống xói lở khẩn cấp thượng lưu 2 bờ sông Thác Ma, huyện Hải Lăng</t>
  </si>
  <si>
    <t>Đường Ngô Quyền, cầu Quy Thiện và đoạn còn lại Đường Xuân - Quy - Vĩnh</t>
  </si>
  <si>
    <t>Nhà học bộ môn Trường THCS Hải Phú</t>
  </si>
  <si>
    <t>Mở rộng đường Ngô Quyền (đoạn từ cơ quan Huyện ủy đến đường tránh lũ), huyện Hải Lăng</t>
  </si>
  <si>
    <t>Xây dựng CSHT đô thị hồ Đập Thanh, thị trấn Hải Lăng</t>
  </si>
  <si>
    <t>CSHT phía Đông đường Nguyễn Huệ, thị trấn Hải Lăng</t>
  </si>
  <si>
    <t>CSHT đô thị đường Lê Thị Tuyết, thị trấn Hải Lăng</t>
  </si>
  <si>
    <t>CSHT và cảnh quan công viên 19/3, huyện Hải Lăng</t>
  </si>
  <si>
    <t>CSHT khu vực phát triển TTCN - Dịch vụ và thể thao phía Tây Bắc đường Hùng Vương, thị trấn Hải Lăng - HM: Đường giao thông</t>
  </si>
  <si>
    <t>Chương trình MTQG Giảm nghèo</t>
  </si>
  <si>
    <t>Nhà văn hóa thôn Tây Tân An, xã Hải An</t>
  </si>
  <si>
    <t>Hệ thống tiêu úng Đông Dương xã Hải Dương, huyện Hải Lăng</t>
  </si>
  <si>
    <t>Đường Phú Lệ A thuộc dự án đầu tư xây dựng công trình Đường Phú Lệ, huyện Hải Lăng</t>
  </si>
  <si>
    <t>Trường MN Hải Khê</t>
  </si>
  <si>
    <t>Trường TH Hải Khê</t>
  </si>
  <si>
    <t>Xây dựng trụ sở làm việc xã Hải Thượng - HM: Nhà làm việc, sân, cổng, tường rào, nhà xe</t>
  </si>
  <si>
    <t>Trụ sở đảng ủy, HĐND, UBND xã; Hạng mục: Nhà làm việc + Nhà vệ sinh</t>
  </si>
  <si>
    <t>BTH GTNT tuyến nhà Ông Phan Duy Tân - Phan Văn Hưởng</t>
  </si>
  <si>
    <t>BTH GTNT Tuyến nhà Ông Mai Văn Lợi - Mai Văn Xiêng</t>
  </si>
  <si>
    <t>BTH GTNT Tuyến nhà Ông Nguyễn Văn Đắc - Phan Văn Hải</t>
  </si>
  <si>
    <t>BTH GTNT đường ngõ xóm Thôn Thiện Tây</t>
  </si>
  <si>
    <t>KCH kênh mương đội 1 Thôn Mai đàn</t>
  </si>
  <si>
    <t>KCH Kênh mương vùng cung, thôn Trường Phước</t>
  </si>
  <si>
    <t>BTH đường ngõ xóm Thôn Trà Trì (Tuyến từ ĐX 6 đến nhà Ông Thảng)</t>
  </si>
  <si>
    <t>BTH đường ngõ xóm Thôn Trà Trì (Tuyến đường xóm Miêu)</t>
  </si>
  <si>
    <t>BTH đường ngõ xóm Thôn Trà Trì (Tuyến từ ĐX 6 đến nhà Ông Khôi)</t>
  </si>
  <si>
    <t>Hệ thống điện thắp sáng đường xã</t>
  </si>
  <si>
    <t xml:space="preserve">BTH đường ngõ xóm (Tuyến từ nhà Ông Văn đến đất màu HTX </t>
  </si>
  <si>
    <t xml:space="preserve">BTH đường ngõ xóm (Tuyến từ nhà Ông Tiểu đến đường  WB </t>
  </si>
  <si>
    <t>BTH đường ngõ xóm (Tuyến từ nhà Ông Nam đoạn qua thôn Quy Thiện</t>
  </si>
  <si>
    <t>Xây mới nhà văn hoá xã</t>
  </si>
  <si>
    <t>BTH GTNT xã Hải Thành</t>
  </si>
  <si>
    <t>UBND huyện Hướng Hóa</t>
  </si>
  <si>
    <t>Trường Tiểu học số 1 Thị trấn Lao Bảo</t>
  </si>
  <si>
    <t>Trường Mầm non thị trấn Lao Bảo</t>
  </si>
  <si>
    <t>Trường THCS bán trú Hướng Phùng</t>
  </si>
  <si>
    <t>Trường THCS bán trú Hướng Lập</t>
  </si>
  <si>
    <t>Trường THCS Tân Lập</t>
  </si>
  <si>
    <t>Các điểm tái định cư Dự án phát triển đô thị dọc hành lang tiểu vùng sông Mê Kông</t>
  </si>
  <si>
    <t>7608897</t>
  </si>
  <si>
    <t>Đường vào xã Hướng Sơn, huyện Hướng Hóa (Đoạn từ đường Hồ Chí Minh vào trụ sở UBND xã Hướng Sơn)</t>
  </si>
  <si>
    <t>Điện chiếu sáng nghĩa trang liệt sỹ Hướng Hóa</t>
  </si>
  <si>
    <t>Trụ sở làm việc nhà B, cơ quan Huyện ủy Hướng Hóa</t>
  </si>
  <si>
    <t>7595071</t>
  </si>
  <si>
    <t>Khu tái định cư cho đồng bào dân tộc di dời thực hiện dự án cơ sở hạ tầng cụm cửa khẩu</t>
  </si>
  <si>
    <t>Trạm Y tế xã Thanh, huyện hướng Hóa</t>
  </si>
  <si>
    <t>7615894</t>
  </si>
  <si>
    <t>Đường GT thôn Prin C, xã A Dơi</t>
  </si>
  <si>
    <t>Đường thôn Bản Giai đi Thuận Trung 5, xã Thuận giai đoạn 2</t>
  </si>
  <si>
    <t xml:space="preserve">7507471  </t>
  </si>
  <si>
    <t>Trường MN Ba Tầng - HM: 2 phòng học, 1 phòng ở giáo viên điểm trường thôn Trùm</t>
  </si>
  <si>
    <t>Đường GT liên thôn Hoong Cóc, xã Hướng Linh</t>
  </si>
  <si>
    <t xml:space="preserve">7578503  </t>
  </si>
  <si>
    <t>Trường MN Hướng Việt - HM: 01 phòng học điểm trường trung tâm</t>
  </si>
  <si>
    <t xml:space="preserve">7579936  </t>
  </si>
  <si>
    <t>Trường MN điểm lẻ Hà Lệt, Tân Thành</t>
  </si>
  <si>
    <t xml:space="preserve">7582234  </t>
  </si>
  <si>
    <t>Trường mầm non Húc: HM: Điểm trừơng Húc Ván; Điểm trừơng Húc Thượng;Điểm trừơng</t>
  </si>
  <si>
    <t xml:space="preserve">7566276  </t>
  </si>
  <si>
    <t>Đường Giao thông bản 1 Cũ đi bản 1 mới</t>
  </si>
  <si>
    <t>Trường nầm non A Dơi; Điển trường A Dơi Cô</t>
  </si>
  <si>
    <t>Đường giao thông xã Tân Lập, huyện Hướng Hoá</t>
  </si>
  <si>
    <t xml:space="preserve"> Nhà văn hóa truyền thống các dân tộc Vân kiều và Pa Kô, huyện Hướng Hóa</t>
  </si>
  <si>
    <t>7446050</t>
  </si>
  <si>
    <t>Trường MN Tân Long</t>
  </si>
  <si>
    <t>Trường MN Ba Tầng</t>
  </si>
  <si>
    <t>Trường MN Húc</t>
  </si>
  <si>
    <t>Trường MN Thuận</t>
  </si>
  <si>
    <t>Trường TH Hướng Phùng</t>
  </si>
  <si>
    <t>Trường TH Húc</t>
  </si>
  <si>
    <t>Trường TH Hướng Lộc</t>
  </si>
  <si>
    <t>Trường TH Xy</t>
  </si>
  <si>
    <t>Trường TH A Xing</t>
  </si>
  <si>
    <t>Trường TH Ba Tầng</t>
  </si>
  <si>
    <t>Trường TH A Túc</t>
  </si>
  <si>
    <t>Trường TH Thuận</t>
  </si>
  <si>
    <t>Trường TH Hướng Việt</t>
  </si>
  <si>
    <t>Trường TH A Dơi</t>
  </si>
  <si>
    <t>Trường MN xã Tân Hợp, điểm trường Lương Lễ</t>
  </si>
  <si>
    <t>Đường giao thông nội thôn Tân Linh, xã Hướng Tân</t>
  </si>
  <si>
    <t>7516860</t>
  </si>
  <si>
    <t>Trụ sở UBND xã Thanh</t>
  </si>
  <si>
    <t>7517427</t>
  </si>
  <si>
    <t>Đường giao thông Bản Giai đi Thuận Trung 5 (GĐ3)</t>
  </si>
  <si>
    <t>7520881</t>
  </si>
  <si>
    <t>Đường GT liên thôn Phùng Lâm - Cổ Nhổi xã Hướng Phùng</t>
  </si>
  <si>
    <t>7592771</t>
  </si>
  <si>
    <t>Trường mầm non thôn Loa; HM: Nhà 01 phòng học + 01 phòng ở GV</t>
  </si>
  <si>
    <t>7593590</t>
  </si>
  <si>
    <t>Đường GT liên thôn Hoong - Cóoc, xã Hướng Linh</t>
  </si>
  <si>
    <t>7597749</t>
  </si>
  <si>
    <t>Đường GT liên thôn Trằm - Tân Linh, xã Hướng Tân</t>
  </si>
  <si>
    <t>7597753</t>
  </si>
  <si>
    <t>Đường GT liên thôn Bản 6 đi Thuận Hòa, xã Thuận</t>
  </si>
  <si>
    <t>7599804</t>
  </si>
  <si>
    <t>Trường Mầm non xã Thuận. HM: Nhà hiệu bộ</t>
  </si>
  <si>
    <t>7663470</t>
  </si>
  <si>
    <t>Đường liên thôn Cổ Thành đi  Nại Cửu</t>
  </si>
  <si>
    <t>7599831</t>
  </si>
  <si>
    <t>Đường liên thôn Bích La Đông đi Nại Cửu</t>
  </si>
  <si>
    <t>7599892</t>
  </si>
  <si>
    <t>Đường GT liên thôn Trằm - Cu Dừn, xã Hướng Lộc</t>
  </si>
  <si>
    <t>7600476</t>
  </si>
  <si>
    <t>Đường GT liên thôn Cu Ty củ đi Cu Ty mới, xã Hướng Lộc</t>
  </si>
  <si>
    <t>7600481</t>
  </si>
  <si>
    <t>Đường GT liên thôn Ka Tiên đi Tà Rùng, xã Hướng Việt</t>
  </si>
  <si>
    <t>7600492</t>
  </si>
  <si>
    <t>Đường vào khu sản xuất thôn Ta Puồng, xã Hướng Việt</t>
  </si>
  <si>
    <t>7659565</t>
  </si>
  <si>
    <t>Đường liên thôn Nại Cửu đi Bích La Đông</t>
  </si>
  <si>
    <t>Đường GT liên thôn Xiraman - Troan Ô xã Xy</t>
  </si>
  <si>
    <t>Đường giao thôn thôn P rin C đi Xa Đoan, xã A Dơi; Lý trình Km</t>
  </si>
  <si>
    <t>Đường liên thôn Nam Xuân Đức đi  Bích La Trung</t>
  </si>
  <si>
    <t>Nhà văn hóa Trung tâm xã Tân Long; HM: Sân Khấu ngoài trời</t>
  </si>
  <si>
    <t>Trường  THCS Tân Long</t>
  </si>
  <si>
    <t>UBND huyện Gio Linh</t>
  </si>
  <si>
    <t>Trường THCS Trung Hải</t>
  </si>
  <si>
    <t>Trường THCS Thị trấn Gio Linh</t>
  </si>
  <si>
    <t>Trường mầm non Hoa Mai</t>
  </si>
  <si>
    <t>Trường Tiểu học Linh Hải</t>
  </si>
  <si>
    <t>Chợ thị trấn Cửa Việt, huyện Gio Linh</t>
  </si>
  <si>
    <t>Đường tránh lũ, cứu hộ, cứu nạn và phục vụ dân sinh xã Vĩnh Trường, huyện Gio Linh</t>
  </si>
  <si>
    <t>HT tưới tiêu phục vụ sản xuất nông nghiệp tỉnh Quảng Trị - HM: Nâng cấp hồ chứa nước thị trấn Gio Linh</t>
  </si>
  <si>
    <t>7568517</t>
  </si>
  <si>
    <t>Chợ Kên, huyện Gio Linh</t>
  </si>
  <si>
    <t>Đường vào Khu di tích đình làng Hà Thượng (giai đoạn 2)</t>
  </si>
  <si>
    <t>Bê tông hoá đường giao thông nông thôn khe Me, xã Linh Thượng</t>
  </si>
  <si>
    <t>7461340</t>
  </si>
  <si>
    <t>Chợ Nam Đông, huyện Gio Linh, Quảng Trị</t>
  </si>
  <si>
    <t>Cầu Khe Lòn, xã Linh Hải, H.Gio Linh</t>
  </si>
  <si>
    <t>Nạo vét mở rộng hồ chứa nước Thị trấn Gio Linh ( đợt 1)</t>
  </si>
  <si>
    <t>Sân vận động Trung tâm xã Trung Sơn, huyện Gio Linh</t>
  </si>
  <si>
    <t>Đường thôn Xuân Tiến về bến cá, xã Gio Việt</t>
  </si>
  <si>
    <t>Đường ra bến cá thôn Nam Sơn, xã Trung Giang</t>
  </si>
  <si>
    <t>Đường GT thôn 4, xã Gio Hải</t>
  </si>
  <si>
    <t>Đường GT thôn 5, xã Gio Hải</t>
  </si>
  <si>
    <t>Đường GT thôn Tân Xuân - Xuân Ngọc về bến cá, xã Gio Việt</t>
  </si>
  <si>
    <t>Đường thôn Xuân Ngọc - Xuân Lộc về bến cá, xã Gio Việt</t>
  </si>
  <si>
    <t>Đường BTH giao thông nội đồng (Đoạn từ nhà ông Nghĩa đến nhà ông Ba)</t>
  </si>
  <si>
    <t>Đường BTH giao thông nội đồng (Đoạn từ nhà ông Nghĩa đến khu sx Bến Mộc 1)</t>
  </si>
  <si>
    <t>Đường BTH giao thông nông thôn, thôn Trảng Rộng</t>
  </si>
  <si>
    <t>Đường giao thông thôn Xóm Tre đi khu sản xuất xã Vĩnh Trường, huyện Gio Linh</t>
  </si>
  <si>
    <t>Bến cá chợ Cửa Việt, thị trấn Cửa Việt, huyện Gio Linh</t>
  </si>
  <si>
    <t>Đường Phạm Văn Đồng, thị trấn Cửa Việt, huyện Gio Linh</t>
  </si>
  <si>
    <t>Nâng cấp hồ chứa nước thị trấn Gio Linh</t>
  </si>
  <si>
    <t>Trường MN Vĩnh Trường</t>
  </si>
  <si>
    <t>Trường MN Linh Thượng</t>
  </si>
  <si>
    <t>Trường MN Gio Việt</t>
  </si>
  <si>
    <t>Trường MN Gio Hải</t>
  </si>
  <si>
    <t>Trường TH Vĩnh Trường</t>
  </si>
  <si>
    <t>Trường TH Linh Thượng</t>
  </si>
  <si>
    <t>Trường TH Gio Việt</t>
  </si>
  <si>
    <t>Trường TH Trung Giang</t>
  </si>
  <si>
    <t>Kiên cố hóa kênh mương thôn Ba Ze</t>
  </si>
  <si>
    <t>Kiên cố hóa kênh mương thôn Khe Me</t>
  </si>
  <si>
    <t>Bê tông hóa GT nông thôn ngõ xóm Nhĩ Hạ</t>
  </si>
  <si>
    <t>Cải tạo, nâng cấp dãy nhà học 2 tầng và tường rào Trường tiểu học xã Linh Hải</t>
  </si>
  <si>
    <t>Trường THCS Hải Thái</t>
  </si>
  <si>
    <t>Nâng cấp, sửa chữa cầu thôn 5B xã Hải Thái</t>
  </si>
  <si>
    <t>UBND huyện Vĩnh Linh</t>
  </si>
  <si>
    <t>Cộng đồng phòng tránh thiên tai Trường Mầm non Vĩnh Thái</t>
  </si>
  <si>
    <t>Trường Mầm non xã Vĩnh Tú</t>
  </si>
  <si>
    <t>Trường Mầm non xã Vĩnh Chấp</t>
  </si>
  <si>
    <t>Trường Tiểu học Cửa Tùng</t>
  </si>
  <si>
    <t xml:space="preserve">Trường THCS Nguyễn Trãi (xây dựng trường trọng điểm chất lượng cao) </t>
  </si>
  <si>
    <t>Trường THCS Trần Công Ái</t>
  </si>
  <si>
    <t>Trường MN số 2 Vĩnh Lâm (cụm Tân Mỹ)</t>
  </si>
  <si>
    <t>Đường liên xã Vĩnh Hòa, thị trấn Cửa Tùng, huyện Vĩnh Linh</t>
  </si>
  <si>
    <t>Xây dựng Block vĩa hè, rãnh thoát nước đường Trần Phú và đường Trần Hưng Đạo, thị trấn Hồ Xá, huyện Vĩnh Linh</t>
  </si>
  <si>
    <t>Mở rộng nhà làm việc và lưu trữ 03 tầng, Huyện ủy Vĩnh Linh</t>
  </si>
  <si>
    <t>Trụ sở xã Vĩnh Trung</t>
  </si>
  <si>
    <t>Trụ sở xã Vĩnh Sơn</t>
  </si>
  <si>
    <t>Trụ sở làm việc UBMTTQVN huyện và các Hội, Đoàn thể huyện Vĩnh Linh</t>
  </si>
  <si>
    <t>Trụ sở phòng TC - KH huyện và các phòng ban huyện Vĩnh Linh</t>
  </si>
  <si>
    <t>Tường rào, sân bê tông Trường MN và trung tâm học tập cộng đồng Bản 3, xã Vĩnh Ô</t>
  </si>
  <si>
    <t>Tường rào, sân bê tông Trường MN và trung tâm học tập cộng đồng Bản 4, xã Vĩnh Ô</t>
  </si>
  <si>
    <t>Đường GT nội thôn Khe Hó, xã Vĩnh Hà</t>
  </si>
  <si>
    <t>Trung tâm học tập cộng đồng thôn Khe Trù, xã Vĩnh Hà</t>
  </si>
  <si>
    <t>Đường GT nội thôn Bãi Hà, xã Vĩnh Hà</t>
  </si>
  <si>
    <t>Đường GT nội thôn Xóm Mới</t>
  </si>
  <si>
    <t>Đường GT nội thôn Xóm Mới xã Vĩnh Ô</t>
  </si>
  <si>
    <t>Đường giao thông Thạch Kim-Hiền Hòa, huyện Vĩnh Linh, tỉnh Quảng Trị</t>
  </si>
  <si>
    <t>Đường nối trung tâm xã Vĩnh Long với các xã miền Tây và miền Đông huyện Vĩnh Linh</t>
  </si>
  <si>
    <t xml:space="preserve">7582116  </t>
  </si>
  <si>
    <t>Bãi rác thị trấn Cửa Tùng, huyện Vĩnh Linh</t>
  </si>
  <si>
    <t>Trường MN Vĩnh Ô</t>
  </si>
  <si>
    <t>Trường MN Vĩnh Thạch</t>
  </si>
  <si>
    <t>Trường MN Vĩnh Giang</t>
  </si>
  <si>
    <t>Trường TH Vĩnh Ô</t>
  </si>
  <si>
    <t>Trường TH Vĩnh Giang</t>
  </si>
  <si>
    <t>Trường TH Vĩnh Thái</t>
  </si>
  <si>
    <t>Trường THPT Bến Hải - Hạng mục: Nhà hiệu bộ</t>
  </si>
  <si>
    <t>Đài truyền thanh huyện Vĩnh Linh</t>
  </si>
  <si>
    <t>Công viên văn hóa huyện Vĩnh Linh</t>
  </si>
  <si>
    <t>Trường TH thị trấn Bến Quan - HM: Nhà 2 tầng 8 phòng học</t>
  </si>
  <si>
    <t>Trường TH xã Vĩnh Kim - HM: Nhà 4 phòng học</t>
  </si>
  <si>
    <t>Hội trường Trường TH Vĩnh Thạch</t>
  </si>
  <si>
    <t>Trụ sở UBND xã Vĩnh Thủy - HM: Nhà làm việc cơ quan và bộ phận một cửa</t>
  </si>
  <si>
    <t>Tường rào Trường Tiểu học xã Vĩnh Ô</t>
  </si>
  <si>
    <t>7570171</t>
  </si>
  <si>
    <t>Bê tông hoá đường nội thôn Lâm Trường, xã Vĩnh Hà</t>
  </si>
  <si>
    <t>7573294</t>
  </si>
  <si>
    <t>UBND xã Vĩnh Ô, huyện Vĩnh Linh; Hạng mục: San n̉n + sân khấu ngoài trời</t>
  </si>
  <si>
    <t xml:space="preserve"> Đường bê tông Thôn Thúc ngõ nhà anh Phê anh Chiến</t>
  </si>
  <si>
    <t>Trường Tiểu học và Trung học cơ sở xã Vĩnh Hoà (Điểm trường THCS) hạng mục: Xây dựng nhà 4 phòng học</t>
  </si>
  <si>
    <t>Đường liên xã Vĩnh Hòa - thị trấn Cửa Tùng</t>
  </si>
  <si>
    <t>UBND TX Quảng Trị</t>
  </si>
  <si>
    <t>Trường Tiểu học Nguyễn Trãi, TX Quảng Trị</t>
  </si>
  <si>
    <t>Nhà hiệu bộ Trường THCS Lý Tự Trọng</t>
  </si>
  <si>
    <t>Trường Mầm non Thành Cổ (Nhà học tập kết hợp khu hiệu bộ)</t>
  </si>
  <si>
    <t>Trường Mầm non Hoa Phượng (Nhà đa năng kết hợp Khu hiệu bộ)</t>
  </si>
  <si>
    <t>Trường THCS Lương Thế Vinh (Nhà học chức năng; Nâng cấp, mở rộng nhà hiệu bộ)</t>
  </si>
  <si>
    <t xml:space="preserve">Trường Tiểu học Kim Đồng </t>
  </si>
  <si>
    <t>Kè chống xói lỡ bờ Bắc sông Thạch Hãn, thị xã Quảng Trị</t>
  </si>
  <si>
    <t>Kè chống xói lỡ bờ Nam sông Thạch Hãn</t>
  </si>
  <si>
    <t>Sữa chữa, nâng cấp Đập Đùng xã Hải Lệ, thị xã Quảng Trị</t>
  </si>
  <si>
    <t>CSHT cụm Công nghiệp Hải Lệ</t>
  </si>
  <si>
    <t>Đường Quang Trung, thị xã Quảng Trị</t>
  </si>
  <si>
    <t>Đường Hải Lệ, thị xã Quảng Trị</t>
  </si>
  <si>
    <t>Trường Mầm non Thành Cổ ( Nhà học tập kết hợp khu hiệu bộ)</t>
  </si>
  <si>
    <t>Đường vào khu xử lý rác, nghĩa địa nhân dân thị xã Quảng Trị</t>
  </si>
  <si>
    <t>Xây dựng và cải tạo hệ thống thoát nước, xử lý nước thải thị xã Quảng Trị</t>
  </si>
  <si>
    <t>7163838</t>
  </si>
  <si>
    <t>Đường vào Đài Tưởng niệm các anh hùng liệt sỹ Bờ Bắc sông Thạch Hãn tỉnh Quảng Trị</t>
  </si>
  <si>
    <t>UBND huyện Triệu Phong</t>
  </si>
  <si>
    <t>Nhà đa năng Trường THCS Nguyễn Bỉnh Khiêm</t>
  </si>
  <si>
    <t>Trường Tiểu học xã Triệu Giang</t>
  </si>
  <si>
    <t>Trường THCS Triệu Sơn</t>
  </si>
  <si>
    <t>Trường Mầm non Triệu Hòa</t>
  </si>
  <si>
    <t>Trường Mầm non Triệu Trạch</t>
  </si>
  <si>
    <t>DA xây dựng kết cấu hạ tầng nông thôn góp phần XĐGN và ứng phó với biến đổi khí hậu huyện Triệu Phong</t>
  </si>
  <si>
    <t>7380914</t>
  </si>
  <si>
    <t>Chợ Hà Tây, xã Triệu An</t>
  </si>
  <si>
    <t>Chợ Chùa, xã Triệu Phước</t>
  </si>
  <si>
    <t xml:space="preserve">Chợ Chùa xã Triệu Phước, huyện Tphong - HM: Mặt bằng, sân, ki ốt, đình chợ phụ </t>
  </si>
  <si>
    <t>Chợ Trung tâm xã Triệu Đông</t>
  </si>
  <si>
    <t>Đường vào xã Triệu Vân, huyện Triệu Phong</t>
  </si>
  <si>
    <t>Hệ thống điện chiếu sáng thị trấn Ái Tử, huyện Triệu Phong</t>
  </si>
  <si>
    <t>Đường từ thôn Vĩnh Lại xã Triệu Phước đi Triệu An, huyện Triệu Phong</t>
  </si>
  <si>
    <t>Sửa chữa, nạo vét kênh tiêu úng Hói Thuận, huyện Triệu Phong</t>
  </si>
  <si>
    <t>Trụ sở xã Triệu Ái</t>
  </si>
  <si>
    <t>Trụ sở làm việc UBMTTQ Việt nam và các đoàn thể huyện Triệu Phong</t>
  </si>
  <si>
    <t>Nâng cấp, sửa chữa trụ sở làm việc liên cơ quan: Ban QLDA Đầu tư và xây dựng, Trung tâm phát triển cụm công nghiệp Làng nghề và Trung tâm phát trển quỹ đất, huyện Triệu Phong</t>
  </si>
  <si>
    <t>Đường tránh lũ, c/hộ, PTKT tây huyện Triệu Phong, nam huyện Cam Lộ</t>
  </si>
  <si>
    <t>Trạm Y tế xã Triệu Thuận, Triệu Phong</t>
  </si>
  <si>
    <t>Trụ sở UBND xã Triệu Ái, huyện Triệu Phong</t>
  </si>
  <si>
    <t>Trường MN Hoa Phong Ba - HM: Hàng rào, sân vườn</t>
  </si>
  <si>
    <t>Đường ra bến cá thôn 7, xã Triệu Vân</t>
  </si>
  <si>
    <t>Đường ra bến cá thôn Hà Tây</t>
  </si>
  <si>
    <t>Đường liên xã Triệu Thuận - Triệu Đại - Triệu Hoà, huyện Triệu Phong</t>
  </si>
  <si>
    <t>Kè chống xói lở khẩn cấp bờ sông bảo vệ các khu dân cư và công trình công cộng xã Triệu Thượng, huyện Triệu Phong, tỉnh Quảng Trị ( Kè đoạn K0+41,93+K0+158,59 (cọc 2A đến cọc 6) và Km0 +474,44-Km0 +599,57 (cọc 17 đến cọc 22)</t>
  </si>
  <si>
    <t>Xây dựng kết cấu hạ tầng nông thôn góp phần xóa đói giảm nghèo và ứng phó biến đổi khí hậu huyện Triệu Phong, tỉnh Quảng Trị</t>
  </si>
  <si>
    <t>Cầu Bến Lội xã Triệu Giang, huyện Triệu Phong</t>
  </si>
  <si>
    <t>Cơ sở hạ tầng thiết yếu Khu dịch vụ du lịch Nhật Tân, xã Triệu Lăng, huyện Triệu Phong</t>
  </si>
  <si>
    <t>Đường l/nghiệp p/vụ SX vùng ng/liệu t/trung, PT/ rừng th/canh cây gỗ lớn và PCCR huyện Triệu Phong</t>
  </si>
  <si>
    <t xml:space="preserve">7599320  </t>
  </si>
  <si>
    <t>DA đầu tư XD CSHT di dân ra khỏi vùng ngập lụt 3 xã Triệu Thượng, TGiang, TLong</t>
  </si>
  <si>
    <t>Trường MN Triệu An</t>
  </si>
  <si>
    <t>Trường MN Triệu Phước</t>
  </si>
  <si>
    <t>Trường MN Triệu Vân</t>
  </si>
  <si>
    <t>Trường MN Triệu Lăng</t>
  </si>
  <si>
    <t>Trường TH số 1 Triệu An</t>
  </si>
  <si>
    <t>Trường TH số 1 Triệu Phước</t>
  </si>
  <si>
    <t>Trường TH Triệu Vân</t>
  </si>
  <si>
    <t>Điểm vui chơi, thể thao xã Triệu Thành - Hạng mục: San nền, sân bóng chuyền</t>
  </si>
  <si>
    <t>Trụ sở UBND xã Triệu Thành - Hạng mục: Kính chống mưa tiền sảnh, nâng cấp sân)</t>
  </si>
  <si>
    <t>TỔNG CỘNG</t>
  </si>
  <si>
    <t>Cộng</t>
  </si>
  <si>
    <t>Trung ương hỗ trợ có địa chỉ chi ( Nhà khách BCHQS)</t>
  </si>
  <si>
    <t>Hỗ trợ có mục tiêu</t>
  </si>
  <si>
    <t>hoàn tra kbnn</t>
  </si>
  <si>
    <t>Ghi chi từ nguồn viện trợ</t>
  </si>
  <si>
    <t>Phụ lục số 12</t>
  </si>
  <si>
    <t>BẢNG KÊ CHI TIẾT BỔ SUNG NGÂN SÁCH CẤP TỈNH CHO NGÂN SÁCH CÁC HUYỆN NĂM 2017</t>
  </si>
  <si>
    <t>Đvt:  Triệu đồng</t>
  </si>
  <si>
    <t>Tên chương trình,
 quyết định</t>
  </si>
  <si>
    <t>Số Quyết
 định</t>
  </si>
  <si>
    <t>Số GD</t>
  </si>
  <si>
    <t>H.Hải Lăng</t>
  </si>
  <si>
    <t>H. Vĩnh Linh</t>
  </si>
  <si>
    <t>H Gio Linh</t>
  </si>
  <si>
    <t>H. Hướng Hoá</t>
  </si>
  <si>
    <t>H. Cam Lộ</t>
  </si>
  <si>
    <t>H. Đakrông</t>
  </si>
  <si>
    <t>H Đảo CC</t>
  </si>
  <si>
    <t>Theo dõi cấp phát</t>
  </si>
  <si>
    <t>Bổ sung cân đối (356)</t>
  </si>
  <si>
    <t>Dự toán giao đầu năm</t>
  </si>
  <si>
    <t>Bổ sung có mục tiêu (346)</t>
  </si>
  <si>
    <t xml:space="preserve">Kinh phí thực hiện chính sách theo NĐ 116/2016/NĐ-Cp </t>
  </si>
  <si>
    <t>1561,170403,8720,01
45A04K2011K408</t>
  </si>
  <si>
    <t>KP DA Lramp</t>
  </si>
  <si>
    <t>1561,170331,8720,01
45A04K2011K407</t>
  </si>
  <si>
    <r>
      <t xml:space="preserve">KP hỗ trợ thiệt hại do dịch bệnh nuôi tôm 
</t>
    </r>
    <r>
      <rPr>
        <sz val="12"/>
        <rFont val="Times New Roman"/>
        <family val="1"/>
        <charset val="163"/>
      </rPr>
      <t>(Hoàn ứng KP 2966/QĐ-UBND năm 2016)</t>
    </r>
  </si>
  <si>
    <t>1561,170328,3634,01
45A01K2011K406</t>
  </si>
  <si>
    <t>Phân bổ KP bán đấu giá quyền sử dụng đất và trụ sở Phòng GD&amp;ĐT huyện hướng Hóa</t>
  </si>
  <si>
    <t>1561,170215,8720,01
ID; 45A04K2011K392</t>
  </si>
  <si>
    <t>Phân bổ KP khắc phục hậu quả mưa lũ năm 2016</t>
  </si>
  <si>
    <t>1561,170504,8720,02
ID: 45A04K2011K413</t>
  </si>
  <si>
    <t>Kinh phí đào tạo, bồi dưỡng năm 2017</t>
  </si>
  <si>
    <t>1561,170602,8720,01
45A04K2011K418</t>
  </si>
  <si>
    <t>KP tổ chức các hoạt động ra quân khai thác cá và khởi động du lịch biển năm 2017</t>
  </si>
  <si>
    <t>1561,170412,8720,01
45A04K2011K409</t>
  </si>
  <si>
    <t>KP miễn thu thủy lợi phí</t>
  </si>
  <si>
    <t>1561,170412,8720,02
45A04K2011K410</t>
  </si>
  <si>
    <t>KP tổ chức Lễ kỷ niệm 20 năm ngày thành lập huyện Đakrông</t>
  </si>
  <si>
    <t>1561,170503,8720,01
45A04K2011K411</t>
  </si>
  <si>
    <t>CTMTQG Xây dựng nông thôn mới</t>
  </si>
  <si>
    <t>1561,170504,8720,01
ID: 45K04K2011K412
(MÃ 846 - 00393-N 42)</t>
  </si>
  <si>
    <t>1561,170516,8720,01
ID: 45A04K2011K414
(MÃ 846 - 00393-N 43)</t>
  </si>
  <si>
    <t>1561,170516,8720,02
ID: 45A04K2011K414
(MÃ 873 - 00394-N 29)</t>
  </si>
  <si>
    <t>1561,170516,8720,02
ID: 45A04K2011K414
(MÃ 873 - 00397-N 29)</t>
  </si>
  <si>
    <t>1561,170516,8720,02
ID: 45A04K2011K414
(MÃ 873 - 00401-N 29)</t>
  </si>
  <si>
    <t>1561,170516,8720,02
ID: 45A04K2011K414
(MÃ 873 - 00402-N 29)</t>
  </si>
  <si>
    <t>1561,170516,8720,02
ID: 45A04K2011K414
(MÃ 873 - 00405-N 29)</t>
  </si>
  <si>
    <t>1561,171027,8720,01
45A04K2011K448</t>
  </si>
  <si>
    <r>
      <t xml:space="preserve">CTMTQG Xây dựng nông thôn mới
</t>
    </r>
    <r>
      <rPr>
        <sz val="12"/>
        <rFont val="Times New Roman"/>
        <family val="1"/>
        <charset val="163"/>
      </rPr>
      <t>(Đầu tư)</t>
    </r>
  </si>
  <si>
    <r>
      <t xml:space="preserve">1561,170927,8720,01
45A04K2011K440
</t>
    </r>
    <r>
      <rPr>
        <sz val="12"/>
        <rFont val="Times New Roman"/>
        <family val="1"/>
        <charset val="163"/>
      </rPr>
      <t>- nhập của Glinh ngày 18/12
45A04K2011K483
1561,171218,8720,06</t>
    </r>
  </si>
  <si>
    <r>
      <t xml:space="preserve">CTMTQG Xây dựng nông thôn mới
</t>
    </r>
    <r>
      <rPr>
        <sz val="12"/>
        <rFont val="Times New Roman"/>
        <family val="1"/>
        <charset val="163"/>
      </rPr>
      <t>(Vốn sự nghiệp)</t>
    </r>
  </si>
  <si>
    <t>1561,170927,8720,01
45A04K2011K440</t>
  </si>
  <si>
    <r>
      <t xml:space="preserve">CTMTQG Xây dựng nông thôn mới
</t>
    </r>
    <r>
      <rPr>
        <sz val="12"/>
        <rFont val="Times New Roman"/>
        <family val="1"/>
        <charset val="163"/>
      </rPr>
      <t>(Vốn đầu tư - NS tỉnh)</t>
    </r>
  </si>
  <si>
    <t>1561,171110,8720,01
45A04K2011K449</t>
  </si>
  <si>
    <t>Kp thực hiện chiính sách bảo vệ, phát triển đất trồng lúa năm 2016 (đợt 2)</t>
  </si>
  <si>
    <t>1561,170530,8720,02
45A04K2011K416</t>
  </si>
  <si>
    <t>Phân bổ nguồn xổ số kiến thiết vượt thu năm 2016</t>
  </si>
  <si>
    <t>1561,170531,8720,01
45A04K2011K417</t>
  </si>
  <si>
    <t xml:space="preserve">Cấp KP diễn tập PCCR năm 2017 </t>
  </si>
  <si>
    <t>1561,170607,8720,01
45A04K2011K419</t>
  </si>
  <si>
    <t>Cấp KP vận hành hệ thống xử lý nước thải năm 2017</t>
  </si>
  <si>
    <t>1561,170615,8720,01
45A04K2011K422</t>
  </si>
  <si>
    <t>KP CTMTQG giảm nghèo bền vững năm 2016</t>
  </si>
  <si>
    <r>
      <t xml:space="preserve">1561,170620,8720,01
45A04K2011K423
</t>
    </r>
    <r>
      <rPr>
        <sz val="12"/>
        <rFont val="Times New Roman"/>
        <family val="1"/>
        <charset val="163"/>
      </rPr>
      <t>(mã 846-00022-43)</t>
    </r>
  </si>
  <si>
    <r>
      <t xml:space="preserve">1561,170620,8720,01
45A04K2011K423
</t>
    </r>
    <r>
      <rPr>
        <sz val="12"/>
        <rFont val="Times New Roman"/>
        <family val="1"/>
        <charset val="163"/>
      </rPr>
      <t>(mã 846-00023-43)</t>
    </r>
  </si>
  <si>
    <r>
      <t xml:space="preserve">1561,170620,8720,01
45A04K2011K423
</t>
    </r>
    <r>
      <rPr>
        <sz val="12"/>
        <rFont val="Times New Roman"/>
        <family val="1"/>
        <charset val="163"/>
      </rPr>
      <t>(mã 873-00022-29)</t>
    </r>
  </si>
  <si>
    <r>
      <t xml:space="preserve">1561,170620,8720,01
45A04K2011K423
</t>
    </r>
    <r>
      <rPr>
        <sz val="12"/>
        <rFont val="Times New Roman"/>
        <family val="1"/>
        <charset val="163"/>
      </rPr>
      <t>(mã 873-00023-29)</t>
    </r>
  </si>
  <si>
    <t>KP CTMTQG giảm nghèo bền vững năm 2017 (Đợt 1)</t>
  </si>
  <si>
    <r>
      <t xml:space="preserve">1561,170622,8720,01
45A04K2011K424
</t>
    </r>
    <r>
      <rPr>
        <sz val="12"/>
        <rFont val="Times New Roman"/>
        <family val="1"/>
        <charset val="163"/>
      </rPr>
      <t>(mã 846-00022-49)</t>
    </r>
  </si>
  <si>
    <r>
      <t xml:space="preserve">1561,170622,8720,01
45A04K2011K424
</t>
    </r>
    <r>
      <rPr>
        <sz val="12"/>
        <rFont val="Times New Roman"/>
        <family val="1"/>
        <charset val="163"/>
      </rPr>
      <t>(mã 846-00023-49)
nhập bổ sung 1,2 tỷ cho Đakrông
1561,171011,8720,01
45A04K2011K44</t>
    </r>
  </si>
  <si>
    <r>
      <t xml:space="preserve">1561,170622,8720,01
45A04K2011K424
</t>
    </r>
    <r>
      <rPr>
        <sz val="12"/>
        <rFont val="Times New Roman"/>
        <family val="1"/>
        <charset val="163"/>
      </rPr>
      <t>(mã 873-00022-29)</t>
    </r>
  </si>
  <si>
    <r>
      <t xml:space="preserve">1561,170622,8720,01
45A04K2011K424
</t>
    </r>
    <r>
      <rPr>
        <sz val="12"/>
        <rFont val="Times New Roman"/>
        <family val="1"/>
        <charset val="163"/>
      </rPr>
      <t>(mã 873-00023-29)</t>
    </r>
  </si>
  <si>
    <r>
      <t xml:space="preserve">1561,170622,8720,01
45A04K2011K424
</t>
    </r>
    <r>
      <rPr>
        <sz val="12"/>
        <rFont val="Times New Roman"/>
        <family val="1"/>
        <charset val="163"/>
      </rPr>
      <t>(mã 873-00024-29)</t>
    </r>
  </si>
  <si>
    <r>
      <t xml:space="preserve">1561,170622,8720,01
45A04K2011K424
</t>
    </r>
    <r>
      <rPr>
        <sz val="12"/>
        <rFont val="Times New Roman"/>
        <family val="1"/>
        <charset val="163"/>
      </rPr>
      <t>(mã 873-00025-29)</t>
    </r>
  </si>
  <si>
    <r>
      <t xml:space="preserve">1561,170622,8720,01
45A04K2011K424
</t>
    </r>
    <r>
      <rPr>
        <sz val="12"/>
        <rFont val="Times New Roman"/>
        <family val="1"/>
        <charset val="163"/>
      </rPr>
      <t>(mã 873-00026-29)</t>
    </r>
  </si>
  <si>
    <t>KP CTMTQG giảm nghèo bền vững năm 2017 (Đợt 2)</t>
  </si>
  <si>
    <t>1561,171011,8720,02
45A04K2011K442
(Mã 873 - 00023 - 29)</t>
  </si>
  <si>
    <t>1561,171011,8720,02
45A04K2011K442
(Mã 873 - 00024 - 29)</t>
  </si>
  <si>
    <t>1561,171011,8720,02
45A04K2011K442
(Mã 846 - 00023 - 49)</t>
  </si>
  <si>
    <t>KP xây dựng các công trình phụ trợ thiết yếu đảm bảo việc sinh hoạt và làm việc cho CB, CS Ban chỉ huy Quân sự thị xã</t>
  </si>
  <si>
    <t>1561,170627,8720,01
ID: 45A04K2011K425</t>
  </si>
  <si>
    <t>KP thực hiện chính sách hỗ trợ tiền điện cho hộ nghèo, hộ chính sách xã hội năm 2017</t>
  </si>
  <si>
    <t>1561,170627,8720,03
45A04K2011K426</t>
  </si>
  <si>
    <t>KP thực hiện thử nghiệm tuyến du lịch đưa khách ra đảo Cồn cỏ</t>
  </si>
  <si>
    <t>1561,170630,8720,01
45A04K2011K427</t>
  </si>
  <si>
    <t>KP phục vụ Lễ kỷ niệm 110 năm ngày sinh Tổng Bí thư Lê Duẩn</t>
  </si>
  <si>
    <t>1561,170717,8720,01
45A04L2011L47</t>
  </si>
  <si>
    <t>KP hỗ trợ đầu tư xây dựng công trinh</t>
  </si>
  <si>
    <t>1561,170803,8720,02
45A04K2011K429</t>
  </si>
  <si>
    <t>Chính sách hỗ trợ học sinh và trường phổ thông ở xã theo Đ 116/2016/NĐ-CP</t>
  </si>
  <si>
    <t>1561,170803,8720,01
45A04K2011K428</t>
  </si>
  <si>
    <t>1561,170815,8720,01
45A04K2011K432</t>
  </si>
  <si>
    <t>KP thực hiện quy hoạch tổng thể phât triển kinh tế - xã hội; quy hoạch ngành, lĩnh vực năm 2016 (đợt 3)</t>
  </si>
  <si>
    <t>1561,170829,8720,01
45A04K2011K433</t>
  </si>
  <si>
    <t>KP thực hiện chiính sách bảo vệ, phát triển đất trồng lúa năm 2017</t>
  </si>
  <si>
    <t>1561,170830,8720,04
45A04K2011K434</t>
  </si>
  <si>
    <t>KP thực hiện chiính sách miễn, giảm, hỗ trợ chi phí học tập năm 2017 (đợt 1)</t>
  </si>
  <si>
    <t>1561,170901,8720,02
45A04K2011K436
(Chuyển nguồn)</t>
  </si>
  <si>
    <t>1561,170901,8720,01
45A04K2011K435</t>
  </si>
  <si>
    <r>
      <t>KP dđiều chỉnh vốn đối ứng ODA thuộc ngân sách tỉnh quản lý
(</t>
    </r>
    <r>
      <rPr>
        <sz val="12"/>
        <rFont val="Times New Roman"/>
        <family val="1"/>
        <charset val="163"/>
      </rPr>
      <t>Hoàn ứng KP theo QĐ số 1874/QĐ-UBND ngày 08/9/2014)</t>
    </r>
  </si>
  <si>
    <t>1561,170919,8720,01
45A04K2011K437</t>
  </si>
  <si>
    <t>Kp miễn thu thủy lợi phí năm 2017 (đợt 2)</t>
  </si>
  <si>
    <t>1561,170925,8720,02
45A04K2011K439</t>
  </si>
  <si>
    <t>KP phục vụ Đại hội Đức mẹ La Vang năm 2017</t>
  </si>
  <si>
    <t>1561,170925,8720,01
45A04K2011K438</t>
  </si>
  <si>
    <t>KP khắc phục Bão số 4 năm 2017</t>
  </si>
  <si>
    <t>1561,171025,8720,01
45A04K2011K447</t>
  </si>
  <si>
    <t>KP thực hiện chiính sách miễn giảm học phí, hỗ trợ chi phí học tập năm 2017 (đợt 2)</t>
  </si>
  <si>
    <t>1561,171113,8720,01
45A04K2011K451
(Chuyển nguồn)</t>
  </si>
  <si>
    <t>1561,171114,8720,01
45A04K2011K453
(SN Giáo dục 2017)</t>
  </si>
  <si>
    <t>KP thực hiện chiính sách NĐ 136/2013/NĐ-CP</t>
  </si>
  <si>
    <t>1561,171114,8720,02
45A04K2011K454</t>
  </si>
  <si>
    <t>1561,171120,8720,01
45A04K2011K456</t>
  </si>
  <si>
    <t xml:space="preserve">KP mua xe ô tô </t>
  </si>
  <si>
    <t>1561,171114,8720,03
45A04K2011K455</t>
  </si>
  <si>
    <t>KP thực hiện Chính sách Nghị định 86 của UBND thành phố Đông Hà</t>
  </si>
  <si>
    <t>1561,171129,8720,02
45A04K2011K458</t>
  </si>
  <si>
    <t>KP Diễn tập khu vực phòng thủ</t>
  </si>
  <si>
    <t>1561,171129,8720,01
45A04K2011K457</t>
  </si>
  <si>
    <t>KP thực hiện chính sách NĐ 116/2016/NĐ-CP - huyện Hướng Hóa</t>
  </si>
  <si>
    <t>1561,171129,8720,04
45A04K2011K462</t>
  </si>
  <si>
    <t>KP hỗ trợ đại biểu HDND theo NQ 02/2017/NQ-HĐND</t>
  </si>
  <si>
    <t>1561,171207,8720,06
45A04K2011K470 (Chuyển nguồn)
1561,171207,8720,07
45A04K2011K471
(Chi khác)</t>
  </si>
  <si>
    <t xml:space="preserve">KP Thực hiện Nghị định 136/2013/NĐ-CP </t>
  </si>
  <si>
    <t>1561,171207,8720,04
45A04K2011K468</t>
  </si>
  <si>
    <t>KP Thực hiện NĐ 116/2016/NĐ-CP</t>
  </si>
  <si>
    <t>1561,171207,8720,05
45A04K2011K469</t>
  </si>
  <si>
    <t>KP Hỗ trợ kỷ niệm 70 năm ngày TBLS và sự kiện 81 ngày đêm bảo vệ Thành cổ</t>
  </si>
  <si>
    <t>1561,171207,8720,03
45A04K2011K465</t>
  </si>
  <si>
    <t>1561,171207,8720,02
45A04K2011K464</t>
  </si>
  <si>
    <t>1561,171207,8720,01
45A04K2011K463</t>
  </si>
  <si>
    <t>KP thực hiện chiính sách TTLT số 42/2013/TTLT-BGDĐT-BLĐTBXH-BTC</t>
  </si>
  <si>
    <t>1561,171207,8720,08
45A04K2011K472 (Nguồn SN GD)
1561,171207,8720,11
45A04K2011K475
(Chuyển nguồn)</t>
  </si>
  <si>
    <t>KP Thực hiến chính sách NĐ 136/2013/NĐ-CP</t>
  </si>
  <si>
    <t>1561,171207,8720,10
45A04K2011K474</t>
  </si>
  <si>
    <t>BSKP nhà ở người có công với cách mạng về nhà ở năm 2017</t>
  </si>
  <si>
    <t>1561,171207,8720,09
45A04K2011K473</t>
  </si>
  <si>
    <t>KP tiền lương tăng thêm năm 2017</t>
  </si>
  <si>
    <t>1561,171214,8720,02
45A04K2011K476</t>
  </si>
  <si>
    <t>KP Nghị định 86/2015/NĐ-CP năm 2017</t>
  </si>
  <si>
    <t>1561,171218,8720,01
45A04K2011K477</t>
  </si>
  <si>
    <t>1561,171218,8720,02
45A04K2011K478</t>
  </si>
  <si>
    <t>KP thực hiện chi trả phụ cấp nhân viên, CTV thú y, khuyến nông cơ sở</t>
  </si>
  <si>
    <t>1561,171218,8720,03
45A04K2011K479</t>
  </si>
  <si>
    <t>KP Thực hiện chính sách trẻ ăn trưa từ 3 - 5 tuổi năm 2017</t>
  </si>
  <si>
    <t>1561,171218,8720,04
45A04K2011K480</t>
  </si>
  <si>
    <t>KP thực hiện chiính sách bảo vệ, phát triển đất trồng lúa năm 2017 (đợt 2)</t>
  </si>
  <si>
    <t>1561,171218,8720,05
45A04K2011K481</t>
  </si>
  <si>
    <t>KP bồi thường thiệt hại do sự cố môi trường biển</t>
  </si>
  <si>
    <t>1561,171221,8720,03
45A04K2011K486</t>
  </si>
  <si>
    <t>KP hỗ trợ học phí cho học sinh, sinh viên thiệt hại do sự cố môi trường biển</t>
  </si>
  <si>
    <t>1561,171221,8720,02
45A04K2011K485</t>
  </si>
  <si>
    <t>KP phụ cấp nhân viên, CTV thú ý, khuyến nông năm 2017</t>
  </si>
  <si>
    <t>1561,171221,8720,01
45A04K2011K484</t>
  </si>
  <si>
    <t>1561,171225,8720,02
45A04K2011K488</t>
  </si>
  <si>
    <t>1561,171225,8720,01
45A04K2011K487</t>
  </si>
  <si>
    <t>KP thực hiện ATGT</t>
  </si>
  <si>
    <t>1561,171227,8720,01
45A04K2011K490</t>
  </si>
  <si>
    <t>KP thực hiện điều chỉnh học bổng cho học sinh là người dân tộc thiểu số</t>
  </si>
  <si>
    <t>1561,171229,8720,01
45A01K2011K491</t>
  </si>
  <si>
    <r>
      <t xml:space="preserve">KP hỗ trợ tổ chức sản xuất vụ Đông Xuân 2015-2016 và hè thu 2016 ứng phó với khô hạn
</t>
    </r>
    <r>
      <rPr>
        <sz val="12"/>
        <rFont val="Times New Roman"/>
        <family val="1"/>
        <charset val="163"/>
      </rPr>
      <t>(hoàn ứng QĐ 2925 ngày 29/12/2015 và QĐ 1291/QĐ-UBDN ngày 14/6/2016)</t>
    </r>
  </si>
  <si>
    <t>1561,171230,8720,01
45A04K2011K492</t>
  </si>
  <si>
    <t>KP sửa chữa, nâng cấp đường Hiền Lương</t>
  </si>
  <si>
    <t>1561,171230,8720,02
45A04K2011K493</t>
  </si>
  <si>
    <t>KP thực hiện chiính sách khuyến nông, thú y cơ sở năm 2017</t>
  </si>
  <si>
    <t>1561,171230,8720,03
45A04K2011K494</t>
  </si>
  <si>
    <t>1561,171230,8720,06
45A04K2011K495</t>
  </si>
  <si>
    <t>Điều chỉnh vốn CTMTQG giảm nghèo bền vững, kế hoạch năm 2017</t>
  </si>
  <si>
    <r>
      <t xml:space="preserve">KP hỗ trợ tổ chức sản xuất vụ Đông Xuân 2015-2016 và hè thu 2016, hè thu 2017 ứng phó với khô hạn
</t>
    </r>
    <r>
      <rPr>
        <sz val="12"/>
        <rFont val="Times New Roman"/>
        <family val="1"/>
        <charset val="163"/>
      </rPr>
      <t>(hoàn ứng QĐ 2925 ngày 29/12/2015 và QĐ 1291/QĐ-UBDN ngày 14/6/2016)</t>
    </r>
  </si>
  <si>
    <t>1561,170108,8720,02
45A04L2011L50</t>
  </si>
  <si>
    <r>
      <t xml:space="preserve">KP khen thưởng CTMT NTM giai đoạn 2011-2015 (đợt 2 năm 2017)
</t>
    </r>
    <r>
      <rPr>
        <sz val="12"/>
        <rFont val="Times New Roman"/>
        <family val="1"/>
        <charset val="163"/>
      </rPr>
      <t>(Mã 00397)</t>
    </r>
  </si>
  <si>
    <t>1561,180109,,8720,01
45A04K2011K496</t>
  </si>
  <si>
    <r>
      <t xml:space="preserve">KP khen thưởng CTMT NTM giai đoạn 2011-2015 (đợt 2 năm 2017)
</t>
    </r>
    <r>
      <rPr>
        <sz val="12"/>
        <rFont val="Times New Roman"/>
        <family val="1"/>
        <charset val="163"/>
      </rPr>
      <t>(Mã 00393)</t>
    </r>
  </si>
  <si>
    <r>
      <t xml:space="preserve">KP khen thưởng CTMT NTM giai đoạn 2011-2015 (đợt 2 năm 2017)
</t>
    </r>
    <r>
      <rPr>
        <sz val="12"/>
        <rFont val="Times New Roman"/>
        <family val="1"/>
        <charset val="163"/>
      </rPr>
      <t>(Mã 00401)</t>
    </r>
  </si>
  <si>
    <t>CTMT QG</t>
  </si>
  <si>
    <t>NTM</t>
  </si>
  <si>
    <t>GN</t>
  </si>
  <si>
    <t>CCTL</t>
  </si>
  <si>
    <t>Chi nộp trả ngân sách cấp trên</t>
  </si>
  <si>
    <t>Số bổ sung có mục tiêu, nhiệm vụ</t>
  </si>
  <si>
    <t>Thu ngân sách cấp dưới nộp lên</t>
  </si>
  <si>
    <t>chi tiền đất</t>
  </si>
  <si>
    <t>NQ 02</t>
  </si>
  <si>
    <t xml:space="preserve">Tổng hợp </t>
  </si>
  <si>
    <t>Tổng</t>
  </si>
  <si>
    <t>chi tiết huyện</t>
  </si>
  <si>
    <t>dh</t>
  </si>
  <si>
    <t>hh</t>
  </si>
  <si>
    <t>vl</t>
  </si>
  <si>
    <t>gl</t>
  </si>
  <si>
    <t>qt</t>
  </si>
  <si>
    <t>tp</t>
  </si>
  <si>
    <t>hl</t>
  </si>
  <si>
    <t>cl</t>
  </si>
  <si>
    <t>dakr</t>
  </si>
  <si>
    <t>đảo</t>
  </si>
  <si>
    <t>CTMT GN</t>
  </si>
  <si>
    <t>ĐT</t>
  </si>
  <si>
    <t>SN</t>
  </si>
  <si>
    <t>NTM ĐP</t>
  </si>
  <si>
    <t>ĐT - CT 959</t>
  </si>
  <si>
    <t xml:space="preserve">Tỉnh </t>
  </si>
  <si>
    <t>Thu từ huy động, đóng góp</t>
  </si>
  <si>
    <t>Tp. 
Đông Hà</t>
  </si>
  <si>
    <t>TX
 Quảng Trị</t>
  </si>
  <si>
    <t>H.Triệu
 Phong</t>
  </si>
  <si>
    <t>NQ 02-2014</t>
  </si>
  <si>
    <t>CHI NỘP TRẢ NGÂN SÁCH CẤP TRÊN</t>
  </si>
  <si>
    <t>DT 02</t>
  </si>
  <si>
    <t>dt</t>
  </si>
  <si>
    <t>dt giao</t>
  </si>
  <si>
    <t>chênh lech qt</t>
  </si>
  <si>
    <t>DĐT</t>
  </si>
  <si>
    <t>sn</t>
  </si>
  <si>
    <t>Chương trình mục tiêu hỗ trợ  phát triển hệ thống trợ giúp XH</t>
  </si>
  <si>
    <t>Biểu tổng hợp - Biểu chi tiết theo nội dung (phía dưới)</t>
  </si>
  <si>
    <t>theo so phòng Ké toán KBNN</t>
  </si>
  <si>
    <t>QUYẾT TOÁN VỐN ĐẦU TƯ PHÁT TRIỂN NĂM 2015</t>
  </si>
  <si>
    <t>Đơn vị: đồng</t>
  </si>
  <si>
    <t>SỐ TIỀN</t>
  </si>
  <si>
    <t>Mục tiêu sự nghiệp</t>
  </si>
  <si>
    <t>đầu tư</t>
  </si>
  <si>
    <t>GHI CHÚ</t>
  </si>
  <si>
    <t>CL</t>
  </si>
  <si>
    <t>VỐN CHƯƠNG TRÌNH MỤC TIÊU</t>
  </si>
  <si>
    <t>khong co CT 135</t>
  </si>
  <si>
    <t xml:space="preserve"> Chương trình 135</t>
  </si>
  <si>
    <t xml:space="preserve"> Xóa đói giảm  nghèo</t>
  </si>
  <si>
    <t xml:space="preserve"> Xóa đói giảm  nghèo viện trợ Ai len</t>
  </si>
  <si>
    <t xml:space="preserve"> P/chống bệnh XH, bệnh dịch nguy hiểm và HIV/ADIS</t>
  </si>
  <si>
    <t xml:space="preserve"> Văn hóa</t>
  </si>
  <si>
    <t xml:space="preserve"> Nước sinh hoạt và Vệ sinh môi trường</t>
  </si>
  <si>
    <t>Chương trình việc làm</t>
  </si>
  <si>
    <t>Chương trình Vệ sinh an toàn thực phẩm</t>
  </si>
  <si>
    <t>Chương trình xây dựng nông thôn mới</t>
  </si>
  <si>
    <t>Chương trình đưa thông tin về cơ sở miền núi, vùng sâu, vùng xa</t>
  </si>
  <si>
    <t>Chương trình đảm bảo chất lượng GD trường học (SEQAP)</t>
  </si>
  <si>
    <t xml:space="preserve">Chương trình dân số </t>
  </si>
  <si>
    <t>Chương trình y tế</t>
  </si>
  <si>
    <t>Chương trình GD</t>
  </si>
  <si>
    <t>Chương trình quốc gia ATLĐ VSLĐ</t>
  </si>
  <si>
    <t>Chương trình QG phòng chống tội phạm</t>
  </si>
  <si>
    <t>Chương trình QG phòng chống ma túy</t>
  </si>
  <si>
    <t>CT MT khắc phục ô nhiễm môi trường và cải thiện môi trường</t>
  </si>
  <si>
    <t xml:space="preserve"> Dự án trồng mới 5 triệu ha rừng</t>
  </si>
  <si>
    <t>VỐN ĐẦU TƯ XDCB</t>
  </si>
  <si>
    <t xml:space="preserve"> XDCB tập trung NS tỉnh quy hoạch</t>
  </si>
  <si>
    <t>Nguồn thu quỹ đất tỉnh quản lý</t>
  </si>
  <si>
    <t>Vay tín dụng - KCH kênh mương</t>
  </si>
  <si>
    <t>Nguồn thu xổ số kiến thiết</t>
  </si>
  <si>
    <t>Trái phiếu Chính phủ</t>
  </si>
  <si>
    <t>Trụ sở xã</t>
  </si>
  <si>
    <t>Vốn 160</t>
  </si>
  <si>
    <t>Chia sẻ</t>
  </si>
  <si>
    <t>CT 134</t>
  </si>
  <si>
    <t>KCH trường học</t>
  </si>
  <si>
    <t>Lệnh chi tiền</t>
  </si>
  <si>
    <t>Côộng Chi thường xuyên - HTCos MT( Du ODA)</t>
  </si>
  <si>
    <t>BÁO CÁO TÌNH HÌNH KINH PHÍ CHƯƠNG TRÌNH MỤC TIÊU QUỐC GIA, DỰ ÁN 135, DỰ ÁN 5 TRIỆU HA RỪNG 
VÀ CÁC NHIỆM VỤ KHÁC TW GIAO NĂM 2017</t>
  </si>
  <si>
    <t>TÊN CTMT</t>
  </si>
  <si>
    <t>KP CHƯA SỬ DỤNG NĂM TRƯỚC CHUYỂN SANG</t>
  </si>
  <si>
    <t>KINH PHÍ THỰC NHẬN TRONG NĂM</t>
  </si>
  <si>
    <t>KINH PHÍ ĐƯỢC SỬ DỤNG</t>
  </si>
  <si>
    <t>KP ĐÃ SỬ DỤNG ĐỀ NGHỊ QUYẾT TOÁN</t>
  </si>
  <si>
    <t>KINH PHÍ NỘP GIẢM, NỘP TRẢ</t>
  </si>
  <si>
    <t>KINH PHÍ CHƯA SỬ DỤNG CUỐI NĂM</t>
  </si>
  <si>
    <t>Ghi chú</t>
  </si>
  <si>
    <t>Chuyểnsang
 năm
 sau</t>
  </si>
  <si>
    <t>Hủy</t>
  </si>
  <si>
    <t>CTMT QUỐC GIA NÔNG THÔN MỚI</t>
  </si>
  <si>
    <t>Trung tâm nước sạch &amp; Vệ sinh môi trường nông thôn</t>
  </si>
  <si>
    <t>Hệ thống cấp nước xã Gio Mai</t>
  </si>
  <si>
    <t>Hệ thống cấp nước xã Hải Ba</t>
  </si>
  <si>
    <t>Chi cục Trồng trọt &amp; Bảo vệ thực vật</t>
  </si>
  <si>
    <t>Chi cục bảo vệ môi trường</t>
  </si>
  <si>
    <t>Hội liên hiệp phụ nữ tỉnh</t>
  </si>
  <si>
    <t>Chi cục phát triển nông thôn</t>
  </si>
  <si>
    <t>Bộ Quốc phòng</t>
  </si>
  <si>
    <t>Văn phòng Điều phối CTMTQG Nông thôn mới</t>
  </si>
  <si>
    <t>Liên minh HTX tỉnh</t>
  </si>
  <si>
    <t>Hỗ trợ phát triển vùng dứa nguyên liệu, kiểm tra giám sát</t>
  </si>
  <si>
    <t>VP Sở NN&amp;PTNT</t>
  </si>
  <si>
    <t>Hủy tại C0: 733,58</t>
  </si>
  <si>
    <t>(Kèm theo Báo cáo số:                  /BC-UBND ngày      tháng     năm 2018  của Ủy ban nhân dân tỉnh Quảng Trị)</t>
  </si>
  <si>
    <t>Quỹ công đức</t>
  </si>
  <si>
    <t>Quỹ Bảo vệ Môi trường</t>
  </si>
  <si>
    <t>Quỹ hỗ trợ phát triển hợp tác xã tỉnh Quảng Trị</t>
  </si>
  <si>
    <t>Quỹ Khám chữa bệnh cho người nghèo</t>
  </si>
  <si>
    <t>Quỹ đền ơn đáp nghĩa</t>
  </si>
  <si>
    <t>Quỹ Bảo trợ trẻ em</t>
  </si>
  <si>
    <t>Quỹ hỗ trợ nông dân</t>
  </si>
  <si>
    <t>Quỹ phát triển KH &amp;CN tỉnh Quảng Trị</t>
  </si>
  <si>
    <t>Quỹ vì người nghèo</t>
  </si>
  <si>
    <t>Quỹ Cứu trợ</t>
  </si>
  <si>
    <t>Quỹ Nạn nhân chất dộc da cam</t>
  </si>
  <si>
    <t>Quỹ khuyến học</t>
  </si>
  <si>
    <t>Phòng chống thiên tai</t>
  </si>
  <si>
    <t>Địa chỉ nhân đạo</t>
  </si>
  <si>
    <t>Hiến máu tình nguyện</t>
  </si>
  <si>
    <t>Tết vì người nghèo</t>
  </si>
  <si>
    <t>Quỹ phát triển đất</t>
  </si>
  <si>
    <t>Quỹ Bảo trì đường bộ</t>
  </si>
  <si>
    <t>Quỹ Bảo vệ phát triển rừng</t>
  </si>
  <si>
    <t>Dư nguồn đến 31/12/2017</t>
  </si>
  <si>
    <t>Dư nguồn đến ngày 31/12/2016</t>
  </si>
  <si>
    <r>
      <t xml:space="preserve">Trong đó: Hỗ trợ từ NSĐP </t>
    </r>
    <r>
      <rPr>
        <sz val="10"/>
        <color indexed="8"/>
        <rFont val="Times New Roman"/>
        <family val="1"/>
      </rPr>
      <t>(nếu có)</t>
    </r>
  </si>
  <si>
    <t>Trường Mầm non Sao Mai</t>
  </si>
  <si>
    <t>Trường THPT A Túc</t>
  </si>
  <si>
    <t>Trường THCS và THPT Bến Quan</t>
  </si>
  <si>
    <t>Trường THPT Cam Lộ</t>
  </si>
  <si>
    <t>Trường THPT Chế Lan Viên</t>
  </si>
  <si>
    <t>Trường THPT Chu Văn An</t>
  </si>
  <si>
    <t>Trường THPT Chuyên Lê Quý Đôn</t>
  </si>
  <si>
    <t>Trường THPT Cồn Tiên</t>
  </si>
  <si>
    <t>Trường THPT Cửa Tùng</t>
  </si>
  <si>
    <t>Trường THPT Đakrông</t>
  </si>
  <si>
    <t>Trường THPT Đông Hà</t>
  </si>
  <si>
    <t>Trường THPT Gio Linh</t>
  </si>
  <si>
    <t>Trường THPT Hải Lăng</t>
  </si>
  <si>
    <t>Trường THPT Hướng Hóa</t>
  </si>
  <si>
    <t>Trường THPT Hướng Phùng</t>
  </si>
  <si>
    <t>Trường THPT Lao Bảo</t>
  </si>
  <si>
    <t>Trường THPT Lê Lợi</t>
  </si>
  <si>
    <t>Trường THPT Lê Thế Hiếu</t>
  </si>
  <si>
    <t>Trường THPT Bùi Dục Tài</t>
  </si>
  <si>
    <t>Trường THPT Bến Hải</t>
  </si>
  <si>
    <t>Trường THPT Nguyễn Du</t>
  </si>
  <si>
    <t>Trường THPT Nguyễn Huệ</t>
  </si>
  <si>
    <t>Trường THPT Nguyễn Hữu Thận</t>
  </si>
  <si>
    <t>Trường THPT Số 2 Đakrông</t>
  </si>
  <si>
    <t>Trường THPT Tân Lâm</t>
  </si>
  <si>
    <t>Trường THPT Trần Thị Tâm</t>
  </si>
  <si>
    <t>Trường THPT Triệu Phong</t>
  </si>
  <si>
    <t>Trường THPT TX Quảng Trị</t>
  </si>
  <si>
    <t>Trường THPT Vĩnh Định</t>
  </si>
  <si>
    <t>Trường THPT Vĩnh Linh</t>
  </si>
  <si>
    <t>Trung tâm KTTH-HN tỉnh</t>
  </si>
  <si>
    <t>Trung tâm CNTT - NN</t>
  </si>
  <si>
    <t>Trung tâm GDTX Tỉnh</t>
  </si>
  <si>
    <t>Trường Cao đẳng sư phạm</t>
  </si>
  <si>
    <t>Trường trung học NN&amp;PTNT</t>
  </si>
  <si>
    <t>TT hoạt động TTN Quảng Trị</t>
  </si>
  <si>
    <t>Trường Cao đẳng Y tế</t>
  </si>
  <si>
    <t>Nhà Thiếu nhi</t>
  </si>
  <si>
    <t xml:space="preserve">Trường Trung cấp nghề </t>
  </si>
  <si>
    <t>TT Thông tin và thống kê Khoa học -công nghệ</t>
  </si>
  <si>
    <t>TT Ứng dụng tiến bộ Khoa học - Công nghệ</t>
  </si>
  <si>
    <t>TT Kỷ thuật tiêu chuẩn đo lường chất lượng</t>
  </si>
  <si>
    <t>Hệ Điều trị tuyến tỉnh</t>
  </si>
  <si>
    <t>Bệnh viện Đa khoa tỉnh</t>
  </si>
  <si>
    <t>Bệnh viện Khu vực Triệu Hải</t>
  </si>
  <si>
    <t>Bệnh viện CK Lao và bệnh phổi</t>
  </si>
  <si>
    <t>Bệnh viện ĐD và PHCN  Cửa Tùng</t>
  </si>
  <si>
    <t>Phòng Quản lý SKCB</t>
  </si>
  <si>
    <t>Trung tâm Mắt</t>
  </si>
  <si>
    <t>Trung tâm Y tế Huyện Vĩnh Linh</t>
  </si>
  <si>
    <t>Trung tâm Y tế Huyện Gio Linh</t>
  </si>
  <si>
    <t>Trung tâm Y tế Huyện Hướng Hoá</t>
  </si>
  <si>
    <t>Trung tâm  Y tế Huyện Đakrông</t>
  </si>
  <si>
    <t>Trung tâm Y tế Huyện Cam Lộ</t>
  </si>
  <si>
    <t>Trung tâm Y tế Huyện Hải Lăng</t>
  </si>
  <si>
    <t>Trung tâm Y tế Huyện Triệu Phong</t>
  </si>
  <si>
    <t>Trung tâm Y tế thành phố Đông hà</t>
  </si>
  <si>
    <t>Trung tâm Y tế Thị xã Quảng Trị</t>
  </si>
  <si>
    <t>TTYT Quân dân y huyện đảo Cồn Cỏ</t>
  </si>
  <si>
    <t>Trung tâm y tế dự phòng tỉnh</t>
  </si>
  <si>
    <t>Trung tâm TTGD- Sức khoẻ</t>
  </si>
  <si>
    <t>Trung tâm chăm sóc sức khoẻ SS</t>
  </si>
  <si>
    <t>Trung tâm Kiểm nghiệm DP-MP</t>
  </si>
  <si>
    <t>Trung tâm giám định Y khoa</t>
  </si>
  <si>
    <t>Trung tâm Pháp Y</t>
  </si>
  <si>
    <t>Trung tâm kiểm dịch y tế quốc tế</t>
  </si>
  <si>
    <t xml:space="preserve"> Đòan nghệ thuật </t>
  </si>
  <si>
    <t xml:space="preserve">Trung tâm văn hóa tỉnh </t>
  </si>
  <si>
    <t>Ban quản lý di tích</t>
  </si>
  <si>
    <t>TT Huấn luyện thi đấu TDTT</t>
  </si>
  <si>
    <t>TT Phát hành phim và chiếu bóng</t>
  </si>
  <si>
    <t>Đài phát thanh truyền hình tỉnh</t>
  </si>
  <si>
    <t xml:space="preserve">Sự nghiệp đảm bảo xã hội </t>
  </si>
  <si>
    <t>Trung tâm Dịch vụ việc làm</t>
  </si>
  <si>
    <t>IX</t>
  </si>
  <si>
    <t>Sự nghiệp kinh tế</t>
  </si>
  <si>
    <t>Trung tâm tin học tỉnh</t>
  </si>
  <si>
    <t>Trung tâm dịch vụ bán đấu giá tài sản</t>
  </si>
  <si>
    <t>Trung tâm quy hoạch và kiểm định xây dựng</t>
  </si>
  <si>
    <t>Trung tâm quản lý và khai thác cơ sở hạ tầng KKT, KCN</t>
  </si>
  <si>
    <t>Trung tâm công nghệ thông tin 
Tài nguyên và Môi trường</t>
  </si>
  <si>
    <t>Trung tâm Phát triển quỹ đất</t>
  </si>
  <si>
    <t>Trung tâm quan trắc Tài nguyên 
và Môi trường</t>
  </si>
  <si>
    <t>Trung tâm Giống Cây trồng, 
Vật nuôi</t>
  </si>
  <si>
    <t>Trung tâm Kỹ thuật TN&amp;MT</t>
  </si>
  <si>
    <t>Trung tâm Khuyến công và Xúc tiến thương mại</t>
  </si>
  <si>
    <t>Văn phòng Đăng ký đất đai</t>
  </si>
  <si>
    <t>BQL Cảng Cá Quảng Trị</t>
  </si>
  <si>
    <t>Trung tâm ĐTQH&amp;TKNL</t>
  </si>
  <si>
    <t>QUẢN LÝ NHÀ NƯỚC</t>
  </si>
  <si>
    <t>Báo Quảng Trị</t>
  </si>
  <si>
    <t>Sự nghiệp công nghệ thông tin và truyền thông</t>
  </si>
  <si>
    <t>Trung tâm Công nghệ thông tin và Truyền thông</t>
  </si>
  <si>
    <t>QUYẾT TOÁN CHI THƯỜNG XUYÊN CỦA NGÂN SÁCH CẤP TỈNH (HUYỆN, XÃ) CHO TỪNG CƠ QUAN, TỔ CHỨC THEO LĨNH VỰC NĂM...</t>
  </si>
  <si>
    <t xml:space="preserve">Chi sự nghiệp chiếu bóng </t>
  </si>
  <si>
    <t xml:space="preserve">1. TT Phát hành phim - chiếu bóng </t>
  </si>
  <si>
    <t>2. Dự toán biên chế chưa  tuyển</t>
  </si>
  <si>
    <t>Chi CNTT &amp; truyền thông</t>
  </si>
  <si>
    <t>Trung tâm CNTT - Truyền thông</t>
  </si>
  <si>
    <t>BCĐ Công nghệ thông tin</t>
  </si>
  <si>
    <t>Trung tâm tin học</t>
  </si>
  <si>
    <t>Chi Giáo dục - đào tạo và dạy nghề</t>
  </si>
  <si>
    <t>III.1</t>
  </si>
  <si>
    <t>Sự nghiệp giáo dục khối tỉnh</t>
  </si>
  <si>
    <t>Chi sự nghiệp giáo dục khối tỉnh</t>
  </si>
  <si>
    <t>VP Sở GD&amp;ĐT</t>
  </si>
  <si>
    <t>Trường PT DTNT Đakrông</t>
  </si>
  <si>
    <t>Trường PT DTNT Hướng Hóa</t>
  </si>
  <si>
    <t>Trường PT DTNT tỉnh</t>
  </si>
  <si>
    <t>Trường Trẻ em khuyết tật tỉnh</t>
  </si>
  <si>
    <t>Chính sách hỗ trợ học sinh PTTH
 ở vùng có điều kiện KTXH ĐBKK (QĐ 116)</t>
  </si>
  <si>
    <t>c</t>
  </si>
  <si>
    <t>Chính sách cấp bù học phí, hỗ trợ chi phí học tập theo NĐ 86/2016/NĐ-CP</t>
  </si>
  <si>
    <t>d</t>
  </si>
  <si>
    <t>Chính sách học bỗng và hỗ trợ phương tiện học tập theo 42/TTLT-BGDĐT-BLĐTBXH-BTC</t>
  </si>
  <si>
    <t>Trường trẻ em khuyết tật tỉnh</t>
  </si>
  <si>
    <t>Trường THPT số 2 Đakrông</t>
  </si>
  <si>
    <t>e</t>
  </si>
  <si>
    <t>Kinh phí thực hiện Nghị định 116/2010/NĐ-CP và 19/2013/NĐ-CP</t>
  </si>
  <si>
    <t>III.2</t>
  </si>
  <si>
    <t>Sự nghiệp đào tạo</t>
  </si>
  <si>
    <t>TT Huấn luyện &amp; thi đấu TDTT</t>
  </si>
  <si>
    <t>Sở Lao động (Bồi dưởng giáo viên dạy nghề)</t>
  </si>
  <si>
    <t xml:space="preserve">Liên minh HTX </t>
  </si>
  <si>
    <t>Đào tạo Cán bộ Lào (Trường CT LD)</t>
  </si>
  <si>
    <t>Đào tạo học sinh Lào (Trường CĐSP)</t>
  </si>
  <si>
    <t>Đào tạo học sinh Lào (Trường CĐ Y tế)</t>
  </si>
  <si>
    <t>Đào tạo lại ( Sở Nội vụ phân bổ )</t>
  </si>
  <si>
    <t>Chi cục VTLT</t>
  </si>
  <si>
    <t>Ban tôn giáo</t>
  </si>
  <si>
    <t>Tỉnh ủy</t>
  </si>
  <si>
    <t>Chi cục bảo vệ môi trường (Sở TNMT phân bổ lại)</t>
  </si>
  <si>
    <t>Chi cục Biển, Hải đảo và KTTV (Sở TNMT phân bổ lại)</t>
  </si>
  <si>
    <t>Ủy Ban MTTQVN tỉnh</t>
  </si>
  <si>
    <t>Văn phòng HĐND</t>
  </si>
  <si>
    <t>VP Sở Văn hóa, TT&amp;DL</t>
  </si>
  <si>
    <t>HĐND-UBND Triệu Phong (Bồi dưỡng ĐBHĐND cấp xã)</t>
  </si>
  <si>
    <t xml:space="preserve"> HĐND-UBND Hướng Hóa</t>
  </si>
  <si>
    <t xml:space="preserve"> HĐND-UBND Đakrông</t>
  </si>
  <si>
    <t xml:space="preserve"> VP HĐND-UBND TP Đông Hà</t>
  </si>
  <si>
    <t xml:space="preserve"> VP HĐND-UBND huyện Gio Linh</t>
  </si>
  <si>
    <t xml:space="preserve"> VP HĐND-UBND huyện Hải Lăng</t>
  </si>
  <si>
    <t>VP HĐND-UBND TX Quảng Trị</t>
  </si>
  <si>
    <t>VP HĐND-UBND huyện Vĩnh Linh</t>
  </si>
  <si>
    <t>VP HĐND-UBND huyện Cam Lộ</t>
  </si>
  <si>
    <t>Hội LHPN tỉnh</t>
  </si>
  <si>
    <t>Hội nông dân</t>
  </si>
  <si>
    <t>Đào tạo khác( NQ 06/2008; NQ12)</t>
  </si>
  <si>
    <t>Chi Khoa học và công nghệ</t>
  </si>
  <si>
    <t xml:space="preserve">VP Sở Khoa học công nghệ </t>
  </si>
  <si>
    <t>VP Sở Khoa học công nghệ (đề tài)</t>
  </si>
  <si>
    <t>Quỹ Phát triển KH &amp; CN</t>
  </si>
  <si>
    <t>Chi cục tiêu chuẩn đo lường chất lượng</t>
  </si>
  <si>
    <t>Trung tâm KTTCDLCL</t>
  </si>
  <si>
    <t>Trung tâm tin học thông tin KH và CN</t>
  </si>
  <si>
    <t>Trung tâm ứng dụng tiến bộ KH&amp;CN</t>
  </si>
  <si>
    <t>Liên hiệp các Hội KHKT</t>
  </si>
  <si>
    <t>Trạm NC và PT Nấm Cam lộ</t>
  </si>
  <si>
    <t>Kinh phí tiết kiệm cấp 0</t>
  </si>
  <si>
    <t>Chi Y tế, dân số và gia đình</t>
  </si>
  <si>
    <t xml:space="preserve">Kinh phí sự nghiệp ngành y tế </t>
  </si>
  <si>
    <t>Văn phòng Sở Y tế</t>
  </si>
  <si>
    <t>Ban quản lý Quỹ khám chữa bệnh NN</t>
  </si>
  <si>
    <t>Bệnh viện đa khoa tỉnh</t>
  </si>
  <si>
    <t>Bệnh viện khu vực Triệu Hải</t>
  </si>
  <si>
    <t>Bệnh viện phục hồi chức năng</t>
  </si>
  <si>
    <t>TTYT huyện Vĩnh Linh</t>
  </si>
  <si>
    <t>TTYT huyện Gio Linh</t>
  </si>
  <si>
    <t>TTYT huyện Hướng Hóa</t>
  </si>
  <si>
    <t>TTYT huyện Đakrông</t>
  </si>
  <si>
    <t>TTYT huyện Cam Lộ</t>
  </si>
  <si>
    <t>TTYT huyện Hải Lăng</t>
  </si>
  <si>
    <t>TTYT huyện Triệu Phong</t>
  </si>
  <si>
    <t>TTYT thành phố Đông Hà</t>
  </si>
  <si>
    <t>TTYT thị xã Quảng Trị</t>
  </si>
  <si>
    <t>TT Quân dân Y huyện đảo Cồn Cỏ</t>
  </si>
  <si>
    <t>Trung tâm mắt</t>
  </si>
  <si>
    <t>Trung tâm TTGD - Sức khỏe</t>
  </si>
  <si>
    <t>Trung tâm chăm sóc SKSS</t>
  </si>
  <si>
    <t>Trung tâm kiểm nghiệm DP - MP</t>
  </si>
  <si>
    <t>Trung tâm giám định y khoa</t>
  </si>
  <si>
    <t>Trung tâm kiểm dịch Y tế Quốc tế</t>
  </si>
  <si>
    <t>Chi cục an toàn vệ sinh thực phẩm</t>
  </si>
  <si>
    <t xml:space="preserve">Chi sự nghiệp dân số - KHHGĐ </t>
  </si>
  <si>
    <t>Nghị quyết 06 - NQ 11</t>
  </si>
  <si>
    <t>Văn phòng chi cục DS-KHHGĐ</t>
  </si>
  <si>
    <t>TT DS-KHHGĐ Hướng Hóa</t>
  </si>
  <si>
    <t>TT DS-KHHGĐ Đakrông</t>
  </si>
  <si>
    <t>TT DS-KHHGĐ Cam Lộ</t>
  </si>
  <si>
    <t>TT DS-KHHGĐ Hải Lăng</t>
  </si>
  <si>
    <t>TT DS-KHHGĐ Triệu Phong</t>
  </si>
  <si>
    <t>TT DS-KHHGĐ Gio Linh</t>
  </si>
  <si>
    <t>TT DS-KHHGĐ Vĩnh Linh</t>
  </si>
  <si>
    <t>TT DS-KHHGĐ TX QT</t>
  </si>
  <si>
    <t>TT DS-KHHGĐ Đông Hà</t>
  </si>
  <si>
    <t xml:space="preserve">Thực hiện NĐ 39/2015/NĐ-CP </t>
  </si>
  <si>
    <t>KP thực hiện chế độ theo NĐ 64 và 116</t>
  </si>
  <si>
    <t>Trung tâm quân dân y huyện Đảo Cồn Cỏ</t>
  </si>
  <si>
    <t>Chi đối ứng các dự án ngành Y tế</t>
  </si>
  <si>
    <t>Quỹ Khám chữa bệnh người nghèo</t>
  </si>
  <si>
    <t>Tiền lương chưa phân bổ do thực hiện giá dịch vụ TTLT 37</t>
  </si>
  <si>
    <t>Dự phòng biên chế chưa tuyển dụng</t>
  </si>
  <si>
    <t>Chi Văn hóa thông tin</t>
  </si>
  <si>
    <t>Hội Văn học nghệ thuật</t>
  </si>
  <si>
    <t>Sự nghiệp ngành văn hoá</t>
  </si>
  <si>
    <t xml:space="preserve">1. Đoàn nghệ thuật </t>
  </si>
  <si>
    <t xml:space="preserve">2. Trung tâm văn hóa tỉnh </t>
  </si>
  <si>
    <t xml:space="preserve">3. Thư viện tỉnh </t>
  </si>
  <si>
    <t xml:space="preserve">4. Bảo tàng tỉnh </t>
  </si>
  <si>
    <t xml:space="preserve">5. Trung tâm Bảo tồn di tích </t>
  </si>
  <si>
    <t>6. TT Thông tin xúc tiến du lịch</t>
  </si>
  <si>
    <t>7. Sở Văn hóa - TT-DL</t>
  </si>
  <si>
    <t>Kinh phí sáng tạo báo chí</t>
  </si>
  <si>
    <t>Hội văn học nghệ thuật</t>
  </si>
  <si>
    <t>Hội Nhà báo</t>
  </si>
  <si>
    <t>2. TT Thông tin xúc tiến du lịch</t>
  </si>
  <si>
    <t>Chi Phát thanh, truyền hình, thông tấn</t>
  </si>
  <si>
    <t>Chi trợ giá Báo Quảng Trị</t>
  </si>
  <si>
    <t>Chi Thể dục thể thao</t>
  </si>
  <si>
    <t>1.  Sở Văn hóa - TT-DL</t>
  </si>
  <si>
    <t>2.TT Huấn luyện&amp; thi đấu TDTT</t>
  </si>
  <si>
    <t xml:space="preserve">Hoạt động xúc tiến du lịch </t>
  </si>
  <si>
    <t>1. Sở Văn hóa - TT-DL</t>
  </si>
  <si>
    <t xml:space="preserve">2. T.tâm thông tin xúc tiến du lịch </t>
  </si>
  <si>
    <t>3. Trung tâm Khuyến công và XTTM</t>
  </si>
  <si>
    <t>X</t>
  </si>
  <si>
    <t>Sự nghiệp khác</t>
  </si>
  <si>
    <t>Tổng đội TNXP</t>
  </si>
  <si>
    <t>Trung tâm trợ giúp pháp lý nhà nước</t>
  </si>
  <si>
    <t>Trung tâm quản lý cửa khẩu</t>
  </si>
  <si>
    <t>BQL dự án ĐTXD các khu Kinh tế</t>
  </si>
  <si>
    <t>Trạm Kiểm tra tải trọng xe lưu động</t>
  </si>
  <si>
    <t>Trung tâm Đăng kiểm xe cơ giới 74-02D Công ty cổ phần Trường Danh</t>
  </si>
  <si>
    <t>Trung tâm đăng kiểm phương tiện cơ giới thủy bộ Quảng Trị</t>
  </si>
  <si>
    <t>TT công nghệ thông tin Tài nguyên và môi trường</t>
  </si>
  <si>
    <t>XI</t>
  </si>
  <si>
    <t>Chi hoạt động của các cơ quan quản lý nhà nước, đảng, đoàn thể</t>
  </si>
  <si>
    <t>QUẢN LÝ HÀNH CHÍNH</t>
  </si>
  <si>
    <t>Sở Nông nghiệp - PTNT</t>
  </si>
  <si>
    <t>Sở Lao động - TBXH</t>
  </si>
  <si>
    <t>Sở Kế hoạch - Đầu tư.</t>
  </si>
  <si>
    <t>Sở Giao thông - Vận tải.</t>
  </si>
  <si>
    <t>Sở Tài chính.</t>
  </si>
  <si>
    <t>Sở Công Thương</t>
  </si>
  <si>
    <t>Sở Tài nguyên &amp; Môi trường.</t>
  </si>
  <si>
    <t>Sở Khoa học - Công nghệ.</t>
  </si>
  <si>
    <t>Chi cục Tiêu chuẩn ĐL, CL</t>
  </si>
  <si>
    <t>Sở Văn hoá - Thể thao - Du lịch.</t>
  </si>
  <si>
    <t>Sở Thông tin - Truyền thông.</t>
  </si>
  <si>
    <t>Sở Nội vụ.</t>
  </si>
  <si>
    <t xml:space="preserve">Sở Ngoại vụ </t>
  </si>
  <si>
    <t>Sở Giáo dục - Đào tạo</t>
  </si>
  <si>
    <t>VP Hội đồng nhân dân tỉnh</t>
  </si>
  <si>
    <t xml:space="preserve">Đoàn Đại biểu Quốc hội tỉnh </t>
  </si>
  <si>
    <t>Văn phòng Uỷ ban nhân dân Tỉnh</t>
  </si>
  <si>
    <t xml:space="preserve">Ban thi đua khen thưởng Tỉnh </t>
  </si>
  <si>
    <t xml:space="preserve">Ban Dân tộc </t>
  </si>
  <si>
    <t>Chi cục quản lý thị trường</t>
  </si>
  <si>
    <t xml:space="preserve">Thanh tra tỉnh </t>
  </si>
  <si>
    <t>Chi cục Dân số KHHGĐ</t>
  </si>
  <si>
    <t xml:space="preserve">BQL khu Kinh tế </t>
  </si>
  <si>
    <t>Thanh tra Giao thông</t>
  </si>
  <si>
    <t>Ban Tôn giáo Tỉnh</t>
  </si>
  <si>
    <t xml:space="preserve">VP Ban an toàn giao thông tỉnh </t>
  </si>
  <si>
    <t>Chi cục kiểm lâm Quảng Trị</t>
  </si>
  <si>
    <t>VP Chi cục kiểm lâm</t>
  </si>
  <si>
    <t>Hạt kiểm lâm Hướng Hoá</t>
  </si>
  <si>
    <t>Hạt kiểm lâm Đakrông</t>
  </si>
  <si>
    <t>Hạt kiểm lâm Cam Lộ</t>
  </si>
  <si>
    <t>Hạt kiểm lâm Hải Lăng</t>
  </si>
  <si>
    <t>Hạt kiểm lâm Triệu Phong</t>
  </si>
  <si>
    <t>Hạt kiểm lâm Gio Linh</t>
  </si>
  <si>
    <t>Hạt kiểm lâm Vĩnh Linh</t>
  </si>
  <si>
    <t>Hạt kiểm lâm KBTTN Đakrong</t>
  </si>
  <si>
    <t xml:space="preserve">Chi cục Văn thư - Lưu trử </t>
  </si>
  <si>
    <t>Chi Cục an toàn vệ sinh thực phẩm</t>
  </si>
  <si>
    <t xml:space="preserve">Chi cục Bảo vệ môi trường </t>
  </si>
  <si>
    <t>Chi cục Biển, Hải đảo và KTTV</t>
  </si>
  <si>
    <t>CƠ QUAN ĐẢNG, ĐOÀN THỂ</t>
  </si>
  <si>
    <t>UBMT tổ quốc Việt Nam Tỉnh</t>
  </si>
  <si>
    <t>Tỉnh Đoàn</t>
  </si>
  <si>
    <t>Hội Nông dân Tỉnh</t>
  </si>
  <si>
    <t>Hội Liên hiệp phụ nữ Tỉnh</t>
  </si>
  <si>
    <t>Hội Cựu chiến binh Tỉnh</t>
  </si>
  <si>
    <t>Đoàn Khối các CQ tỉnh</t>
  </si>
  <si>
    <t>Đoàn Khối các DN tỉnh</t>
  </si>
  <si>
    <t>CÁC HỘI ĐẶC THÙ</t>
  </si>
  <si>
    <t>Hội Nhà báo Quảng Trị</t>
  </si>
  <si>
    <t>Liên minh HTX Tỉnh</t>
  </si>
  <si>
    <t xml:space="preserve">Liên hiệp các tổ chức hữu nghị </t>
  </si>
  <si>
    <t>Hội Chữ thập đỏ Tỉnh</t>
  </si>
  <si>
    <t>Hội người mù Tỉnh</t>
  </si>
  <si>
    <t>LH các hội khoa học kỹ thuật Tỉnh</t>
  </si>
  <si>
    <t>Hội Đông y</t>
  </si>
  <si>
    <t>Hội NKT, BTNKT, NNDC, BVQTE</t>
  </si>
  <si>
    <t>Hội người cao tuổi tỉnh</t>
  </si>
  <si>
    <t>CLBTT người cao tuổi</t>
  </si>
  <si>
    <t>Hội khuyến học tỉnh</t>
  </si>
  <si>
    <t>Hội Nạn nhân chất độc Da cam</t>
  </si>
  <si>
    <t>Hội Kế hoạch hoá gia đình</t>
  </si>
  <si>
    <t xml:space="preserve">Hội Từ thiện </t>
  </si>
  <si>
    <t>Hội Làm vườn</t>
  </si>
  <si>
    <t xml:space="preserve">Câu lạc bộ Đường 9 </t>
  </si>
  <si>
    <t xml:space="preserve">Hội tù chính trị yêu nước </t>
  </si>
  <si>
    <t>Hội Cựu thanh niên xung phong</t>
  </si>
  <si>
    <t xml:space="preserve">Hội Y học </t>
  </si>
  <si>
    <t>Hội Luật gia</t>
  </si>
  <si>
    <t>Hội Di sản Văn hoá</t>
  </si>
  <si>
    <t>Hội Châm cứu</t>
  </si>
  <si>
    <t xml:space="preserve">Hội cựu giáo chức </t>
  </si>
  <si>
    <t xml:space="preserve">Đoàn Luật sư </t>
  </si>
  <si>
    <t xml:space="preserve">Hội Khoa học kinh tế </t>
  </si>
  <si>
    <t>Hiệp hội DN tỉnh</t>
  </si>
  <si>
    <t>Hội người Khuyết tật</t>
  </si>
  <si>
    <t xml:space="preserve">Hội Khoa học Lịch sử </t>
  </si>
  <si>
    <t>XII</t>
  </si>
  <si>
    <t>Chi Bảo đảm xã hội</t>
  </si>
  <si>
    <t>Bộ máy &amp; KP đảm bảo xã hội</t>
  </si>
  <si>
    <t>Nhà đón tiếp thân nhân LS</t>
  </si>
  <si>
    <t>BQL Nghĩa trang đường 9</t>
  </si>
  <si>
    <t>TT Điều dưỡng TB và BTXH</t>
  </si>
  <si>
    <t>TT dịch vụ việc làm</t>
  </si>
  <si>
    <t>BQL Nghĩa trang Trường Sơn</t>
  </si>
  <si>
    <t>TT Bảo trợ xã hội tổng hợp 1</t>
  </si>
  <si>
    <t>VP Sở Lao động TB và XH</t>
  </si>
  <si>
    <t>VP UBND tỉnh</t>
  </si>
  <si>
    <t xml:space="preserve">Tỉnh ủy </t>
  </si>
  <si>
    <t>Chi trả theo QĐ 290,NĐ 150,QĐ62</t>
  </si>
  <si>
    <t>Phòng LĐTBXH Đông Hà</t>
  </si>
  <si>
    <t>Phòng LĐTBXH TX Quảng Trị</t>
  </si>
  <si>
    <t>Phòng LĐTBXH Vĩnh Linh</t>
  </si>
  <si>
    <t>Phòng LĐTBXH Gio Linh</t>
  </si>
  <si>
    <t>Phòng LĐTBXH Triệu Phong</t>
  </si>
  <si>
    <t>Phòng LĐTBXH Hải Lăng</t>
  </si>
  <si>
    <t>Phòng LĐTBXH Đakrông</t>
  </si>
  <si>
    <t>Phòng LĐTBXH Cam Lộ</t>
  </si>
  <si>
    <t>Phòng LĐTBXH Hướng Hóa</t>
  </si>
  <si>
    <t>Chương trình mục tiêu việc làm</t>
  </si>
  <si>
    <t>Bảo vệ và chăm sóc trẻ em</t>
  </si>
  <si>
    <t>Trung tâm Bảo trợ xã hội tổng hợp 1</t>
  </si>
  <si>
    <t xml:space="preserve">Quỹ Bảo trợ trẻ em </t>
  </si>
  <si>
    <t xml:space="preserve">KP hoạt động bình đẳng giới </t>
  </si>
  <si>
    <t>KP BCĐ Đề án đào tạo nghề 1956</t>
  </si>
  <si>
    <t>KP chúc thọ, mừng thọ người c. tuổi</t>
  </si>
  <si>
    <t xml:space="preserve">KP BCĐ giảm nghèo bền vửng tỉnh </t>
  </si>
  <si>
    <t>KP Hội đồng trọng tài LĐ</t>
  </si>
  <si>
    <t xml:space="preserve"> Kinh phí đối tượng và biên chế 
chưa tuyển (nguồn còn NS tỉnh)</t>
  </si>
  <si>
    <t>XIII</t>
  </si>
  <si>
    <t>Kinh phí cắm mốc (NSTW hỗ trợ)</t>
  </si>
  <si>
    <t>BCĐ cắm mốc - Sở Ngoại vụ</t>
  </si>
  <si>
    <t>XIV</t>
  </si>
  <si>
    <t>Chi khác</t>
  </si>
  <si>
    <t>Trung tâm Truyền hình Việt Nam tại Huế</t>
  </si>
  <si>
    <t>Hội doanh nhân trẻ</t>
  </si>
  <si>
    <t xml:space="preserve">Chi bổ sung quỹ dự trữ tài chính </t>
  </si>
  <si>
    <t xml:space="preserve">Dự toán </t>
  </si>
  <si>
    <t>Biểu mẫu số 61</t>
  </si>
  <si>
    <t>Chương trình mục tiêu quốc gia giảm nghèo</t>
  </si>
  <si>
    <t>Chương trình mục tiêu quốc gia NTM</t>
  </si>
  <si>
    <t>Đầu tư phát triển</t>
  </si>
  <si>
    <t>Kinh phí sự nghiệp</t>
  </si>
  <si>
    <t>Chia ra</t>
  </si>
  <si>
    <t>Ngân sách cấp tỉnh</t>
  </si>
  <si>
    <t>(Kèm theo Nghị quyết số               /NQ-HĐND ngày      tháng     năm 2019 của Hội đồng nhân dân tỉnh Quảng Trị)</t>
  </si>
  <si>
    <t>(Kèm theo Nghị quyết số               /NQ-HĐND ngày      tháng     năm 2019 của HĐND tỉnh Quảng Trị)</t>
  </si>
  <si>
    <t>Biểu mẫu số 57</t>
  </si>
  <si>
    <t>Dự toán được cấp</t>
  </si>
  <si>
    <t>Kinh phí thực hiện trong năm</t>
  </si>
  <si>
    <t>Nguồn còn lại</t>
  </si>
  <si>
    <t>Dự toán đầu năm</t>
  </si>
  <si>
    <t>Chuyển nguồn năm sau</t>
  </si>
  <si>
    <t>Hủy bỏ</t>
  </si>
  <si>
    <t>A.1</t>
  </si>
  <si>
    <t>Chi Quản lý hành chính</t>
  </si>
  <si>
    <t>Chi Cục vệ sinh an toàn thực phẩm</t>
  </si>
  <si>
    <t>Hội NKT, NNDC, BTNKT, BVQTE</t>
  </si>
  <si>
    <t>A.2</t>
  </si>
  <si>
    <t>CHI SỰ NGHIỆP</t>
  </si>
  <si>
    <t>Sự nghiệp Văn hoá - TT -DL</t>
  </si>
  <si>
    <t>1. Đoàn nghệ thuật truyền thống</t>
  </si>
  <si>
    <t>2. Trung tâm Văn hóa - Điện ảnh tỉnh</t>
  </si>
  <si>
    <t>4. Trung tâm Quản lý Di tích và Bảo tàng</t>
  </si>
  <si>
    <t>5. TT Thông tin xúc tiến du lịch</t>
  </si>
  <si>
    <t>6. Sở Văn hóa - TT-DL</t>
  </si>
  <si>
    <t>Sự nghiệp Thể thao</t>
  </si>
  <si>
    <t>Trường THCS và THPT Bến Hải</t>
  </si>
  <si>
    <t>VP Sở Giáo dục và Đào tạo</t>
  </si>
  <si>
    <t>Trường Trung cấp nghề</t>
  </si>
  <si>
    <t>VP Sở Lao động</t>
  </si>
  <si>
    <t>Phòng LĐ Triệu Phong</t>
  </si>
  <si>
    <t>Sở Lao động, Thương binh và xã hội</t>
  </si>
  <si>
    <t>Trường chính trị Lê Duẩn</t>
  </si>
  <si>
    <t>Trung tâm CN &amp;TT</t>
  </si>
  <si>
    <t>Hội Liên hiệp phụ nữ tỉnh</t>
  </si>
  <si>
    <t>Hiệp hội doanh nghiệp tỉnh</t>
  </si>
  <si>
    <t>Hội cựu chiến binh</t>
  </si>
  <si>
    <t xml:space="preserve">Sự nghiệp  Y tế </t>
  </si>
  <si>
    <t>Chi sự nghiệp dân số - KHHGĐ</t>
  </si>
  <si>
    <t>Sự nghiệp Khoa học - Công nghệ</t>
  </si>
  <si>
    <t>Sự nghiêp CNTT &amp; truyền thông</t>
  </si>
  <si>
    <t>Sự nghiệp Phát thanh - TH</t>
  </si>
  <si>
    <t>Sự nghiệp Đảm bảo xã hội</t>
  </si>
  <si>
    <t>Hoạt động người có công với cách mạng</t>
  </si>
  <si>
    <t>Phục vụ hoạt động đảm bảo xã hội khác</t>
  </si>
  <si>
    <t>Chi cục Kiểm Lâm</t>
  </si>
  <si>
    <t>Chi cục Chăn nuôi &amp; Thú y</t>
  </si>
  <si>
    <t>Sở Tài nguyên &amp; Môi trường</t>
  </si>
  <si>
    <t>Biểu mẫu số 54</t>
  </si>
  <si>
    <t>Chi chương trình MTQG</t>
  </si>
  <si>
    <t>Chi chuyển nguồn sang ngân sách năm sau</t>
  </si>
  <si>
    <t>CHI TRẢ NỢ LÃI CÁC KHOẢN DO CHÍNH QUYỀN ĐỊA PHƯƠNG VAY (2)</t>
  </si>
  <si>
    <t>CHI BỔ SUNG QUỸ DỰ TRỮ TÀI CHÍNH (2)</t>
  </si>
  <si>
    <t>CHI DỰ PHÒNG NGÂN SÁCH</t>
  </si>
  <si>
    <t>CHI TẠO NGUỒN, ĐIỀU CHỈNH TIỀN LƯƠNG</t>
  </si>
  <si>
    <t>CHI CHUYỂN NGUỒN SANG NGÂN SÁCH NĂM SAU</t>
  </si>
  <si>
    <t>Trung tâm Văn hóa - Điện ảnh tỉnh</t>
  </si>
  <si>
    <t>Trung tâm Quản lý Di tích và Bảo tàng</t>
  </si>
  <si>
    <t>Công an tỉnh</t>
  </si>
  <si>
    <t>Quy hoạch kinh tế xã hội và đô thị, đất đai cấp tỉnh</t>
  </si>
  <si>
    <t>Kinh phí hỗ trợ bảo vệ và phát triển đất trồng lúa</t>
  </si>
  <si>
    <t>Kinh phí thực hiện chính sách khuyến nông, khuyến lâm, thú y cơ sở</t>
  </si>
  <si>
    <t>Ghi chú:</t>
  </si>
  <si>
    <t>Ban Dân tộc</t>
  </si>
  <si>
    <t>Chi CTMT nhiệm vụ thường xuyên</t>
  </si>
  <si>
    <t>Thu bổ sung thực hiện CCTL</t>
  </si>
  <si>
    <t>Trung tâm Nước sạch &amp; Vệ sinh môi trường nông thôn</t>
  </si>
  <si>
    <t xml:space="preserve">Ban QLDA ĐTXD Kinh tế </t>
  </si>
  <si>
    <t>Trung tâm lưu trữ lịch sử (Chi cục VTLT)</t>
  </si>
  <si>
    <t>Trường THCS và THPT Cồn Tiên</t>
  </si>
  <si>
    <t>Trường THCS và THPT Cửa Việt</t>
  </si>
  <si>
    <t>Trường trung cấp NN&amp;PTNT</t>
  </si>
  <si>
    <t>Trung tâm kiểm soát bệnh tật</t>
  </si>
  <si>
    <t xml:space="preserve">Trung tâm Nghiên cứu, Ứng dụng và Thông tin khoa học và công nghệ: </t>
  </si>
  <si>
    <t>BQL Nghĩa trang đường 9 và nhà đón tiếp thân nhân liệt sỹ</t>
  </si>
  <si>
    <t>Trung tâm Khuyến Nông</t>
  </si>
  <si>
    <t>Chi cục Thủy Lợi</t>
  </si>
  <si>
    <t>Trung tâm Giống cây trồng, vật nuôi</t>
  </si>
  <si>
    <t>Ban quản lý rừng phòng hộ lưu vực sông Bến Hải</t>
  </si>
  <si>
    <t>Ban quản lý rừng phòng hộ lưu vực sông Thạch Hãn</t>
  </si>
  <si>
    <t>Ban quản lý rừng phòng hộ Hướng Hóa - Đakrông</t>
  </si>
  <si>
    <t>Ban quản lý khu bảo tồn thiên nhiên Đakrông</t>
  </si>
  <si>
    <t>Ban quản lý khu bảo tồn thiên nhiên Bắc Hướng Hóa</t>
  </si>
  <si>
    <t>Ban quản lý Cảng cá Quảng Trị</t>
  </si>
  <si>
    <t>Trung tâm Giống thủy sản</t>
  </si>
  <si>
    <t>Chi cục quản lý chất lượng nông lâm sản và thủy sản</t>
  </si>
  <si>
    <t>Chi cục Thủy Sản</t>
  </si>
  <si>
    <t>Ban Quản lý khu bảo tồn biển đảo Cồn Cỏ</t>
  </si>
  <si>
    <t>Trung tâm Phát triển quỹ đất (Sở TNMT phân bổ lại)</t>
  </si>
  <si>
    <t>Trung tâm Quan trắc Tài nguyên và Môi trường</t>
  </si>
  <si>
    <t>Phòng Cảnh sát môi trường- Công an tỉnh</t>
  </si>
  <si>
    <t>BQLDA VIGL - Chi cục Biển hải đảo khí tượng và thủy văn (Sở TNMT phân bổ lại)</t>
  </si>
  <si>
    <t>Chi bổ sung có mục tiêu cho ngân sách cấp dưới</t>
  </si>
  <si>
    <t xml:space="preserve">Chi thường xuyên </t>
  </si>
  <si>
    <t>Sở Tài nguyên và Môi trường</t>
  </si>
  <si>
    <t>Thanh tra tỉnh</t>
  </si>
  <si>
    <t>Trung tâm xúc tiến đầu tư, thương mại và du lịch tỉnh</t>
  </si>
  <si>
    <t>Văn phòng HĐND tỉnh</t>
  </si>
  <si>
    <t>Trong đó:Báo Quảng Trị</t>
  </si>
  <si>
    <t>Đoàn Khối các CQ va DN tỉnh</t>
  </si>
  <si>
    <t>Đào tạo Cán bộ Lào</t>
  </si>
  <si>
    <t>Ban Tôn giáo</t>
  </si>
  <si>
    <t>Đào tạo, bồi dưỡng CNCC cấp xã người DTTS theo NQ 09/2018/NQ-HĐND ngày 18/7/2018</t>
  </si>
  <si>
    <t>Trường CĐSP</t>
  </si>
  <si>
    <t>VP Sở Khoa học công nghệ (đề tài cấp cơ sở)</t>
  </si>
  <si>
    <t>Quỹ Phát triển KH &amp; CN (đề tài cấp tỉnh)</t>
  </si>
  <si>
    <t>Tỉnh ủy (thăm têt)</t>
  </si>
  <si>
    <t>XI.1</t>
  </si>
  <si>
    <t>Sự nghiệp Nông nghiệp và Phát triển nông thôn</t>
  </si>
  <si>
    <t>XI.2</t>
  </si>
  <si>
    <t>Trung tâm Khuyến công và Tư vấn
 phát triển công nghiệp</t>
  </si>
  <si>
    <t>Trung tâm Xúc tiến đầu tư, thương mại và du lịch</t>
  </si>
  <si>
    <t>XI.3</t>
  </si>
  <si>
    <t>Sự nghiệp giao thông</t>
  </si>
  <si>
    <t>BQL Bảo trì giao thông</t>
  </si>
  <si>
    <t>XI.4</t>
  </si>
  <si>
    <t xml:space="preserve">Sự nghiệp tài nguyên </t>
  </si>
  <si>
    <t>Trung tâm lưu trữ lịch sử</t>
  </si>
  <si>
    <t>Kinh phí phục vụ công tác thẩm định giá trị quyền sử dụng đất, thẩm định miễn thu thủy lợi phí, đấu giá quyền sử dụng đất; Hoạt động Quỹ phát triển đất</t>
  </si>
  <si>
    <t>Sở Tài chính:</t>
  </si>
  <si>
    <t>Kinh phí duy tu, sữa chữa hạ tầng KCN, khu kinh tế, khu du lịch</t>
  </si>
  <si>
    <t>Trung tâm Quản lý và KTCSHT Khu Kinh tế, Khu công nghiệp (KP duy tu sửa chữa hạ tầng )</t>
  </si>
  <si>
    <t>Sở Văn hóa - TT-DL</t>
  </si>
  <si>
    <t>Trung tâm xúc tiến đầu tư, thương 
mại và du lịch</t>
  </si>
  <si>
    <t>Ban Quản lý Khu kinh tế</t>
  </si>
  <si>
    <t>Kinh phí Văn phòng điều phối chương trình mục tiêu quốc gia xây dựng nông thôn mới</t>
  </si>
  <si>
    <t>Văn phòng Điều phối nông thôn mới</t>
  </si>
  <si>
    <t>Kinh phí thực hiện chính sách hỗ trợ, khuyến khích phát triển kinh tế tập thể; nhiệm vụ khác của địa phương</t>
  </si>
  <si>
    <t xml:space="preserve"> - Kinh phí thực hiện Nghị quyết số 05/2017/NQ-HĐND ngày 23/5/2017</t>
  </si>
  <si>
    <t xml:space="preserve"> - Hỗ trợ Liên minh HTX</t>
  </si>
  <si>
    <t xml:space="preserve"> - Chi cục Phát triển nông thôn</t>
  </si>
  <si>
    <t>Chi bổ sung Quỹ phát triển đất (****)</t>
  </si>
  <si>
    <t>Chi đối ứng các dự án thuộc nhiệm vụ bố trí vốn của
địa phương</t>
  </si>
  <si>
    <t>Chi cục Bảo vệ môi trường</t>
  </si>
  <si>
    <t>Hội Khuyến học tỉnh</t>
  </si>
  <si>
    <t>Sự nghiệp môi trường</t>
  </si>
  <si>
    <t>Trung tâm Quan trắc Tài nguyên 
và Môi trường</t>
  </si>
  <si>
    <t>Chi cục Biển, Hải đảo và Khí tượng 
Thủy văn</t>
  </si>
  <si>
    <t>Đoàn Luật sư</t>
  </si>
  <si>
    <t xml:space="preserve">Chi trả nợ lãi do chính quyền địa phương vay </t>
  </si>
  <si>
    <t>Sự nghiệp thể dục thể thao</t>
  </si>
  <si>
    <t>Sự nghiệp đảm bảo xã hội</t>
  </si>
  <si>
    <t>Sự nghiệp CNTT và truyền thông</t>
  </si>
  <si>
    <t>Trung tâm Quản lý Cửa khẩu</t>
  </si>
  <si>
    <t>Tổng cộng</t>
  </si>
  <si>
    <t>Khối tỉnh</t>
  </si>
  <si>
    <t>Khối huyện</t>
  </si>
  <si>
    <t>Quản lý nhà nước</t>
  </si>
  <si>
    <t>1=4+6</t>
  </si>
  <si>
    <t>2=5+7</t>
  </si>
  <si>
    <t>6=5/4</t>
  </si>
  <si>
    <t>9=8/7</t>
  </si>
  <si>
    <t>Phần thứ sáu</t>
  </si>
  <si>
    <t>Quyết toán ngân sách địa phương</t>
  </si>
  <si>
    <t>Quyết toán cân đối ngân sách địa phương năm...</t>
  </si>
  <si>
    <t>Quyết toán cân đối nguồn thu, chi ngân sách cấp tỉnh (huyện) và ngân sách huyện (xã) năm...</t>
  </si>
  <si>
    <t>Quyết toán nguồn thu ngân sách nhà nước trên địa bàn theo lĩnh vực năm...</t>
  </si>
  <si>
    <t>Quyết toán chi ngân sách địa phương theo lĩnh vực năm....</t>
  </si>
  <si>
    <t>Quyết toán chi ngân sách cấp tỉnh (huyện, xã) theo lĩnh vực năm....</t>
  </si>
  <si>
    <t>Quyết toán chi ngân sách địa phương, chi ngân sách cấp tỉnh (huyện) và chi ngân sách huyện (xã) theo cơ cấu chi năm...</t>
  </si>
  <si>
    <t>Quyết toán chi ngân sách cấp tỉnh (huyện, xã) cho từng cơ quan, tổ chức theo lĩnh vực năm...</t>
  </si>
  <si>
    <t>Quyết toán chi đầu tư phát triển của ngân sách cấp tỉnh (huyện, xã) cho từng cơ quan, tổ chức theo lĩnh vực năm...</t>
  </si>
  <si>
    <t>Quyết toán chi thường xuyên của ngân sách cấp tỉnh (huyện, xã) cho từng cơ quan, tổ chức theo lĩnh vực năm...</t>
  </si>
  <si>
    <t>Tổng hợp quyết toán chi thường xuyên ngân sách cấp tỉnh (huyện, xã) của từng cơ quan, tổ chức theo nguồn vốn năm...</t>
  </si>
  <si>
    <t>Quyết toán chi ngân sách địa phương từng huyện (xã) năm...</t>
  </si>
  <si>
    <t>Quyết toán chi bổ sung từ ngân sách cấp tỉnh (huyện) cho ngân sách từng huyện (xã) năm...</t>
  </si>
  <si>
    <t>Quyết toán thu ngân sách huyện (xã) năm...</t>
  </si>
  <si>
    <t>Quyết toán chi chương trình mục tiêu quốc gia năm...</t>
  </si>
  <si>
    <t>Biểu mẫu số 62</t>
  </si>
  <si>
    <t>Quyết toán vốn đầu tư các chương trình, dự án sử dụng vốn ngân sách nhà nước năm...</t>
  </si>
  <si>
    <t>Tổng hợp các quỹ tài chính nhà nước ngoài ngân sách do địa phương quản lý năm...</t>
  </si>
  <si>
    <t>Tổng hợp thu dịch vụ của đơn vị sự nghiệp công năm.... (không bao gồm nguồn ngân sách nhà nước)</t>
  </si>
  <si>
    <t>Bổ sung trong năm (nếu có)</t>
  </si>
  <si>
    <t>Tăng dự toán trong năm</t>
  </si>
  <si>
    <t>Giảm khác</t>
  </si>
  <si>
    <t>Bổ sung khác còn lại</t>
  </si>
  <si>
    <t>Bổ sung từ chi khác (429)</t>
  </si>
  <si>
    <t>Thanh tra Sở Giao thông - vận tải</t>
  </si>
  <si>
    <t>Chi trợ giá Báo Quảng Trị (Tỉnh ủy)</t>
  </si>
  <si>
    <t>Ban Chỉ đạo xây dựng CQĐT</t>
  </si>
  <si>
    <t>VII.1</t>
  </si>
  <si>
    <t>Trường THCS và THPT Đakrông</t>
  </si>
  <si>
    <t>Trường THCS và THPT Tân Lâm</t>
  </si>
  <si>
    <t>VII.2</t>
  </si>
  <si>
    <t>VII.3</t>
  </si>
  <si>
    <t>VII.5</t>
  </si>
  <si>
    <t>VII.6</t>
  </si>
  <si>
    <t>IIV.7</t>
  </si>
  <si>
    <t>Trường Cao đẳng kỹ thuật</t>
  </si>
  <si>
    <t>Trường Cao đẳng Kỹ thuật</t>
  </si>
  <si>
    <t>Phòng Nội vụ Hướng Hóa</t>
  </si>
  <si>
    <t>Đào tạo khác</t>
  </si>
  <si>
    <t>Sự nghiệp y tế khối tỉnh</t>
  </si>
  <si>
    <t>TT quân dân Y huyện đảo Cồn cỏ</t>
  </si>
  <si>
    <t>Bệnh viện mắt</t>
  </si>
  <si>
    <t>Trung tâm kiểm nghiệm thuốc, DP - MP</t>
  </si>
  <si>
    <t>Thực hiện chính sách thu hút cán bộ theo NQ 09/2017/NQ-HĐND</t>
  </si>
  <si>
    <t>KP thực hiện chế độ theo 
NĐ76/2019/NĐ-CP; Phụ cấp đãi ngộ cho cán bộ y tế cơ sở theo NQ09/2017/NQ-HĐND</t>
  </si>
  <si>
    <t>Trung tâm xúc tiến thương mại và du lịch</t>
  </si>
  <si>
    <t>Hạt kiểm lâm KBTTN Đakrông</t>
  </si>
  <si>
    <t>Sự nghiệp công nghiệp</t>
  </si>
  <si>
    <t>Sở Tài nguyên &amp; Môi trường(KP Rà soát tình hình sử dụng đất các dự án được giao đất, cho thuê đất trên địa bàn tỉnh QĐ 1535/QĐ-UBND ngày 18/6/2020)</t>
  </si>
  <si>
    <t>Sở TNMT ( KP khảo sát lập đề án xây dựng, hoàn thiện CSDL nền địa lý QG và bản đồ địa hình QG tỷ lệ 1:2.000, 1:5.000 khu vực tỉnh QT; QĐ số 2236/QĐ-UBND ngày 12/8/2020)</t>
  </si>
  <si>
    <t>Sở TNMT ( KP Tư vấn xá định  giá đất cụ thể để tính tiền thuê đất trả một lần cho cả thời gian thực hiện dự án; QĐ số 1492/QĐ-UBND ngày 115/6/2020)</t>
  </si>
  <si>
    <t>Sở Tài nguyên &amp; Môi trường(TW bổ sung đo đạc lập bản đồ địa chính, cắm mốc ranh giới sd đất và cấp giấy CNQSD đất của các cty nông , lâm nghiệp  năm 2017) QĐ 561 ngày 02/3/2020</t>
  </si>
  <si>
    <t>XI.5</t>
  </si>
  <si>
    <t>Trung tâm Dịch vụ Hội nghị</t>
  </si>
  <si>
    <t>Trạm kiểm tra trọng tải xe lưu động</t>
  </si>
  <si>
    <t>XI.6</t>
  </si>
  <si>
    <t>XI.7</t>
  </si>
  <si>
    <t xml:space="preserve">Ban Quản lý Khu Kinh tế: KP giám sát chất lượng MT khu công nghiệp </t>
  </si>
  <si>
    <t>XI.8</t>
  </si>
  <si>
    <t>Xúc tiến đầu tư</t>
  </si>
  <si>
    <t>Trung tâm Khuyến công và TV PTCN</t>
  </si>
  <si>
    <t>Hội Liên hiệp Phụ nữ tỉnh</t>
  </si>
  <si>
    <t>XI.10</t>
  </si>
  <si>
    <t>Ban Quản lý khu kinh tế</t>
  </si>
  <si>
    <t>Sở Văn hóa, thể thao và du lịch</t>
  </si>
  <si>
    <t>XI.11</t>
  </si>
  <si>
    <t>XI.12</t>
  </si>
  <si>
    <t>XI.13</t>
  </si>
  <si>
    <t>XI.14</t>
  </si>
  <si>
    <t xml:space="preserve"> - Quỹ hỗ trợ PT HTX</t>
  </si>
  <si>
    <t>XI.15</t>
  </si>
  <si>
    <t>XI.16</t>
  </si>
  <si>
    <t>XI.17</t>
  </si>
  <si>
    <t>Sở Khoa học - Công nghệ</t>
  </si>
  <si>
    <t>H</t>
  </si>
  <si>
    <t xml:space="preserve">Chi quốc phòng </t>
  </si>
  <si>
    <t>QUYẾT TOÁN</t>
  </si>
  <si>
    <t>ĐVT: Triệu đồng</t>
  </si>
  <si>
    <t>Chi cục Thủy sản</t>
  </si>
  <si>
    <t>Trung tâm nước sạch và VSMT-NT</t>
  </si>
  <si>
    <t xml:space="preserve">Chi đầu tư khác </t>
  </si>
  <si>
    <t>(Kèm theo Nghị quyết số               /NQ-HĐND ngày      tháng     năm 2021 của HĐND tỉnh Quảng Trị)</t>
  </si>
  <si>
    <t>Chi đầu tư các dự án</t>
  </si>
  <si>
    <t>Chi đầu tư từ nguồn bội chi NSĐP</t>
  </si>
  <si>
    <t>Chi hỗ trợ 02 tỉnh Savannakhet, Salavan - Nước CHDCND Lào (đầu tư công trình)</t>
  </si>
  <si>
    <t xml:space="preserve">CHI BỔ SUNG CHO NGÂN SÁCH CẤP DƯỚI </t>
  </si>
  <si>
    <t>CHI NGÂN SÁCH CẤP TỈNH  THEO LĨNH VỰC</t>
  </si>
  <si>
    <t>Chi CTMTQG, CTMT, nhiệm vụ</t>
  </si>
  <si>
    <t xml:space="preserve">Số bổ sung thực hiện cải cách tiền lương và các các chế độ liên quan đến tiền lương, các nhiệm vụ phát sinh khác </t>
  </si>
  <si>
    <t>Huyện Hướng Hoá</t>
  </si>
  <si>
    <t>Thu từ khu vực DNNN do trung ương quản lý (1)</t>
  </si>
  <si>
    <t>Thu từ khu vực doanh nghiệp có vốn đầu tư nước ngoài (3)</t>
  </si>
  <si>
    <t>Thu từ khu vực kinh tế ngoài quốc doanh (4)</t>
  </si>
  <si>
    <t>Trong đó,  Thu sắp xếp lại, xử lý nhà, đất theo quy định của Luật Quản lý, sử dụng tài sản công (hạch toán TM 1407)</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</si>
  <si>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</si>
  <si>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</si>
  <si>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</si>
  <si>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</si>
  <si>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</si>
  <si>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1</t>
  </si>
  <si>
    <t>2</t>
  </si>
  <si>
    <t>3</t>
  </si>
  <si>
    <t>4</t>
  </si>
  <si>
    <t>CHỈ TIÊU</t>
  </si>
  <si>
    <t>DỰ TOÁN TTCP GIAO</t>
  </si>
  <si>
    <t>DỰ TOÁN HĐND GIAO</t>
  </si>
  <si>
    <t>SO SÁNH SỐ QT VỚI</t>
  </si>
  <si>
    <t>TTCP</t>
  </si>
  <si>
    <t>HĐND</t>
  </si>
  <si>
    <t>4=3/1</t>
  </si>
  <si>
    <t>5=3/2</t>
  </si>
  <si>
    <t>DƯ NỢ ĐẦU NĂM</t>
  </si>
  <si>
    <t>TỔNG SỐ VAY TRONG NĂM</t>
  </si>
  <si>
    <t>CHI TRẢ NỢ GỐC TRONG NĂM</t>
  </si>
  <si>
    <t>4=1+2-3</t>
  </si>
  <si>
    <t>DƯ NỢ VAY CUỐI NĂM</t>
  </si>
  <si>
    <t>Chi bổ sung có mục tiêu giao dự toán</t>
  </si>
  <si>
    <t>Chi bổ sung có mục tiêu trong năm</t>
  </si>
  <si>
    <t xml:space="preserve">Chi CTMT nhiệm vụ vốn đầu tư </t>
  </si>
  <si>
    <t>Chi cục Chăn nuôi và Thú y</t>
  </si>
  <si>
    <t>Liên minh HTX</t>
  </si>
  <si>
    <t xml:space="preserve">Sở Kế hoạch và Đầu tư </t>
  </si>
  <si>
    <t>Sở LĐ,TB&amp;XH</t>
  </si>
  <si>
    <t>Trung tâm dịch vụ việc làm Quảng Trị (Thuộc Sở LĐ TB&amp;XH)</t>
  </si>
  <si>
    <t xml:space="preserve">Sở Nông nghiệp và Phát triển nông thôn </t>
  </si>
  <si>
    <t xml:space="preserve">Trường Cao đẳng kỹ thuật Quảng Trị </t>
  </si>
  <si>
    <t>TT Xúc tiến đầu tư, Thương mại và Du lịch tỉnh</t>
  </si>
  <si>
    <t>VPĐP NTM tỉnh</t>
  </si>
  <si>
    <t>Vốn NSTW</t>
  </si>
  <si>
    <t>NSĐP</t>
  </si>
  <si>
    <t>Huyện Vĩnh linh</t>
  </si>
  <si>
    <t>Huyện đảo Cồn Cỏ</t>
  </si>
  <si>
    <t>Bổ sung có mục tiêu (ktra)</t>
  </si>
  <si>
    <t>T</t>
  </si>
  <si>
    <t>Chi ĐT từ nguồn thu sử dụng đất</t>
  </si>
  <si>
    <t>1=2+3+4+5+6
+7-8-9-10</t>
  </si>
  <si>
    <t>Chi cục Trồng trọt và Bảo vệ thực vật</t>
  </si>
  <si>
    <t>Chi cục Thủy lợi</t>
  </si>
  <si>
    <t>Trung tâm đăng kiểm phương tiện cơ giới thủy bộ</t>
  </si>
  <si>
    <t>Hội Y dược - KHHGĐ</t>
  </si>
  <si>
    <t>Chính sách hỗ trợ học sinh PTTH
 ở vùng có điều kiện KTXH ĐBKK (116/2016/NĐ-CP)</t>
  </si>
  <si>
    <t>Hỗ trợ chi phí học tập cho sinh viên dân tộc thiểu số là hộ nghèo, cận nghèo (66/2013/QĐ-TTg)</t>
  </si>
  <si>
    <t>Chính sách nội trú cho học sinh, sinh viên cao đẳng, trung cấp (QĐ 53/2015/QĐ-TTg)</t>
  </si>
  <si>
    <t>IIV.8</t>
  </si>
  <si>
    <t>Kinh phí chính sách hỗ trợ tiền đóng học phí, chi phí sinh hoạt đối với sinh viên sư phạm (NĐ 116/2020/NĐ-CP)</t>
  </si>
  <si>
    <t>BQL DA Xây dựng công trình giao thông</t>
  </si>
  <si>
    <t>Trung tâm đăng kiểm cơ giới thủy bộ</t>
  </si>
  <si>
    <t>Đoạn Quản lý đường thủy nội địa</t>
  </si>
  <si>
    <t xml:space="preserve">Họat động xúc tiến du lịch,  đầu tư, thương mại </t>
  </si>
  <si>
    <t>Hoạt động xúc tiến  đầu tư, thương mại và du lịch</t>
  </si>
  <si>
    <t>Truong TC nghề giao thông vận tải</t>
  </si>
  <si>
    <t xml:space="preserve">Hỗ trợ hoạt động phối hợp cho các đơn vị </t>
  </si>
  <si>
    <t>Tỉnh đoàn</t>
  </si>
  <si>
    <t>Hội Cựu Chiến binh</t>
  </si>
  <si>
    <t xml:space="preserve"> Chi giáo dục - đào tạo và dạy nghề</t>
  </si>
  <si>
    <t xml:space="preserve"> Chi khoa học và công nghệ</t>
  </si>
  <si>
    <t xml:space="preserve"> - Chi XDCB tập trung phân bổ</t>
  </si>
  <si>
    <t xml:space="preserve"> - Chi đầu tư từ nguồn thu tiền sử dụng đất</t>
  </si>
  <si>
    <t xml:space="preserve"> - Chi đầu tư từ nguồn thu xổ số kiến thiết</t>
  </si>
  <si>
    <t xml:space="preserve"> - Chi giáo dục - đào tạo và dạy nghề</t>
  </si>
  <si>
    <t xml:space="preserve"> - Chi khoa học và công nghệ </t>
  </si>
  <si>
    <t xml:space="preserve"> - Chi sự nghiệp môi trường</t>
  </si>
  <si>
    <t>CHI THỰC HIỆN MỘT SỐ MỤC TIÊU, NHIỆM VỤ VÀ CÁC CHƯƠNG TRÌNH MỤC TIÊU</t>
  </si>
  <si>
    <t>Chi thực hiện các dự án, nhiệm vụ (vốn ĐTPT)</t>
  </si>
  <si>
    <t>Chi thực hiện các chế độ, chính sách theo quy định và một số nhiệm vụ</t>
  </si>
  <si>
    <t>Vốn ngoài nước (2)</t>
  </si>
  <si>
    <t>CTMTQG giảm nghèo bền vững</t>
  </si>
  <si>
    <t xml:space="preserve"> - </t>
  </si>
  <si>
    <t>Chi sự nghiệp</t>
  </si>
  <si>
    <t>CTMTQG xây dựng nông thôn mới</t>
  </si>
  <si>
    <t>CHI TỪ NGUỒN BỔ SUNG CÓ MỤC TIÊU TỪ NS TỈNH CHO NS HUYỆN</t>
  </si>
  <si>
    <t>Chi đầu tư các dự án (1)</t>
  </si>
  <si>
    <t>Trong đó: Chia theo lĩnh vực</t>
  </si>
  <si>
    <t>Chi phát thanh, truyền hình</t>
  </si>
  <si>
    <t>Chi hoạt động của cơ quan QLNN, đảng, đoàn thể</t>
  </si>
  <si>
    <t>Nguồn dự toán đảm bảo CCTL chuyển sang</t>
  </si>
  <si>
    <t>Hội Nông dân tỉnh</t>
  </si>
  <si>
    <t>Chi thực hiện một số mục tiêu, nhiệm vụ và các CTMT</t>
  </si>
  <si>
    <t xml:space="preserve">Các khoản chi: Chi dự phòng NS; Chi tạo nguồn điều chỉnh lương; </t>
  </si>
  <si>
    <t>Chi nộp trả NS cấp trên</t>
  </si>
  <si>
    <t>Chi giáo dục
đào tạo và dạy nghề</t>
  </si>
  <si>
    <t>Chi khoa học
và công nghệ</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</si>
  <si>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</si>
  <si>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</si>
  <si>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</si>
  <si>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</si>
  <si>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</si>
  <si>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</si>
  <si>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</si>
  <si>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</si>
  <si>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</si>
  <si>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nông nghiệp,
 lâm nghiệp,
thủy lợi, thủy sản</t>
  </si>
  <si>
    <t>5</t>
  </si>
  <si>
    <t>6</t>
  </si>
  <si>
    <t>7</t>
  </si>
  <si>
    <t>8</t>
  </si>
  <si>
    <t>9</t>
  </si>
  <si>
    <t>10</t>
  </si>
  <si>
    <t>11</t>
  </si>
  <si>
    <t>12</t>
  </si>
  <si>
    <t>13</t>
  </si>
  <si>
    <t>14</t>
  </si>
  <si>
    <t>15</t>
  </si>
  <si>
    <t>16</t>
  </si>
  <si>
    <t>17</t>
  </si>
  <si>
    <t xml:space="preserve"> Văn phòng UBND tỉnh QuảngTrị(1046140)</t>
  </si>
  <si>
    <t xml:space="preserve"> Trung tâm Tin học tỉnh Quảng Trị(1033130)</t>
  </si>
  <si>
    <t xml:space="preserve"> Trung tâm Xúc tiến đầu tư, thương mại và du lịch tỉnh Quảng Trị(1128348)</t>
  </si>
  <si>
    <t xml:space="preserve"> Sở Ngoại vụ tỉnh Quảng Trị(1036820)</t>
  </si>
  <si>
    <t xml:space="preserve"> Văn phòng Sở Nông nghiệp và phát triển nông thôn Quảng Trị(1022516)</t>
  </si>
  <si>
    <t xml:space="preserve"> Chi cục Trồng trọt và Bảo vệ thực vật Quảng Trị(1002282)</t>
  </si>
  <si>
    <t xml:space="preserve"> Ban quản lý  Cảng cá Quảng Trị(1020239)</t>
  </si>
  <si>
    <t xml:space="preserve"> Trung tâm Nước sạch và Vệ sinh môi trường nông thôn(1022348)</t>
  </si>
  <si>
    <t xml:space="preserve"> BQL rừng phòng hộ lưu vực sông Bến Hải(1027926)</t>
  </si>
  <si>
    <t xml:space="preserve"> BQL rừng phòng hộ lưu vực sông Thạch Hãn(1027927)</t>
  </si>
  <si>
    <t xml:space="preserve"> BQL rừng phòng hộ Hướng Hoá -  ĐaKrông(1028835)</t>
  </si>
  <si>
    <t xml:space="preserve"> Hạt Kiểm lâm Cam Lộ(1036204)</t>
  </si>
  <si>
    <t xml:space="preserve"> Hạt Kiểm lâm Vĩnh Linh(1036298)</t>
  </si>
  <si>
    <t xml:space="preserve"> Chi cục Chăn nuôi và Thú y Quảng Trị(1036302)</t>
  </si>
  <si>
    <t xml:space="preserve"> Chi cục Thuỷ sản QuảngTrị(1036440)</t>
  </si>
  <si>
    <t xml:space="preserve"> Hạt Kiểm lâm Gio Linh(1036516)</t>
  </si>
  <si>
    <t xml:space="preserve"> Hạt kiểm lâm Đakrông(1036677)</t>
  </si>
  <si>
    <t xml:space="preserve"> Hạt Kiểm Lâm Triệu Phong(1036683)</t>
  </si>
  <si>
    <t xml:space="preserve"> Hạt Kiểm lâm Hải Lăng(1036765)</t>
  </si>
  <si>
    <t xml:space="preserve"> Trung tâm giống cây trồng, vật nuôi Quảng Trị(1041537)</t>
  </si>
  <si>
    <t xml:space="preserve"> Chi cục Phát triển nông thôn Quảng Trị(1045685)</t>
  </si>
  <si>
    <t xml:space="preserve"> Hạt Kiểm lâm Hướng Hoá(1045914)</t>
  </si>
  <si>
    <t xml:space="preserve"> Văn phòng Chi cục Kiểm lâm QuảngTrị(1045915)</t>
  </si>
  <si>
    <t xml:space="preserve"> BQL khu bảo tồn thiên nhiên Đakrông(1063463)</t>
  </si>
  <si>
    <t xml:space="preserve"> Trung tâm khuyến nông(1096645)</t>
  </si>
  <si>
    <t xml:space="preserve"> Chi cục Thủy lợi Quảng Trị(1096701)</t>
  </si>
  <si>
    <t xml:space="preserve"> Chi cục Quản lý chất lượng nông lâm sản và thủy sản(1097329)</t>
  </si>
  <si>
    <t xml:space="preserve"> Ban quản lý Khu bảo tồn biển Đảo Cồn Cỏ(1100958)</t>
  </si>
  <si>
    <t xml:space="preserve"> Ban quản ký Khu bảo tồn thiên nhiên Bắc Hướng hoá(1105630)</t>
  </si>
  <si>
    <t xml:space="preserve"> Văn phòng Điều phối Chương trình Mục tiêu Quốc gia xây dựng nông thôn mới tỉnh Quảng Trị(1110877)</t>
  </si>
  <si>
    <t xml:space="preserve"> Hạt kiểm lâm Khu bảo tồn thiên nhiên Đakrông(1125321)</t>
  </si>
  <si>
    <t xml:space="preserve"> Ban QLDA "Quản lý rừng bền vững và Bảo tồn đa dạng sinh học (VFBC)" tỉnh Quảng Trị(1131195)</t>
  </si>
  <si>
    <t xml:space="preserve"> Sở Kế hoạch và Đầu tư tỉnh Quảng Trị(1045628)</t>
  </si>
  <si>
    <t xml:space="preserve"> Sở Tư Pháp Quảng Trị(1045625)</t>
  </si>
  <si>
    <t xml:space="preserve"> Trung tâm trợ giúp pháp lý Nhà nước tỉnh Quảng Trị(1035357)</t>
  </si>
  <si>
    <t xml:space="preserve"> Sở Công Thương Quảng Trị(1023050)</t>
  </si>
  <si>
    <t xml:space="preserve"> Trung tâm Khuyến công và Tư vấn phát triển công nghiệp(1033666)</t>
  </si>
  <si>
    <t xml:space="preserve"> Văn phòng Sở Khoa học và Công nghệ tỉnh Quảng Trị(1045858)</t>
  </si>
  <si>
    <t xml:space="preserve"> Trung tâm Nghiên cứu, Ứng dụng và Thông tin Khoa học và Công nghệ(1021051)</t>
  </si>
  <si>
    <t xml:space="preserve"> Chi cục Tiêu chuẩn Đo lường Chất lượng Quảng Trị(1045683)</t>
  </si>
  <si>
    <t xml:space="preserve"> Trung tâm Kỹ thuật Tiêu chuẩn Đo Lường Chất lượng(1109890)</t>
  </si>
  <si>
    <t xml:space="preserve"> VP Sở Tài chính Quảng Trị(1045756)</t>
  </si>
  <si>
    <t xml:space="preserve"> Sở Xây dựng tỉnh Quảng Trị(1045624)</t>
  </si>
  <si>
    <t xml:space="preserve"> Văn phòng Sở Giao thông - Vận tải tỉnh Quảng Trị(1045852)</t>
  </si>
  <si>
    <t xml:space="preserve"> Trường Trung cấp nghề Giao thông vận tải Quảng Trị(1002332)</t>
  </si>
  <si>
    <t xml:space="preserve"> Thanh tra Sở Giao thông vận tải tỉnh Quảng Trị(1045681)</t>
  </si>
  <si>
    <t xml:space="preserve"> Ban an toàn giao thông tỉnh Quảng Trị(1076061)</t>
  </si>
  <si>
    <t xml:space="preserve"> Ban Quản lý bảo trì giao thông(1119657)</t>
  </si>
  <si>
    <t xml:space="preserve"> Trạm kiểm tra tải trọng xe lưu động tỉnh Quảng Trị(1125360)</t>
  </si>
  <si>
    <t xml:space="preserve"> Văn Phòng Sở Giáo dục - Đào tạo Quảng trị(1045863)</t>
  </si>
  <si>
    <t xml:space="preserve"> Trường THPT Trần Thị Tâm(1033432)</t>
  </si>
  <si>
    <t xml:space="preserve"> Trường THPT Lê Lợi(1033486)</t>
  </si>
  <si>
    <t xml:space="preserve"> Trường THPT Lê Thế Hiếu(1033493)</t>
  </si>
  <si>
    <t xml:space="preserve"> Trường Trung học Phổ thông  Đakrông(1035231)</t>
  </si>
  <si>
    <t xml:space="preserve"> Trường THPT Đông Hà(1036063)</t>
  </si>
  <si>
    <t xml:space="preserve"> Trường THPT Triệu Phong(1036536)</t>
  </si>
  <si>
    <t xml:space="preserve"> Trường THPT Cam Lộ(1036586)</t>
  </si>
  <si>
    <t xml:space="preserve"> Trường THPT Nguyễn Huệ(1036587)</t>
  </si>
  <si>
    <t xml:space="preserve"> Trường THPT thị xã Quảng Trị(1036588)</t>
  </si>
  <si>
    <t xml:space="preserve"> Trường THPT chuyên Lê Quý Đôn(1036590)</t>
  </si>
  <si>
    <t xml:space="preserve"> Trường THPT Hải Lăng(1045489)</t>
  </si>
  <si>
    <t xml:space="preserve"> Trường Trung học cơ sở và Trung học phổ thông Bến Hải(1045495)</t>
  </si>
  <si>
    <t xml:space="preserve"> Trường THPT Cửa Tùng(1045679)</t>
  </si>
  <si>
    <t xml:space="preserve"> Trường THPT Gio Linh(1049857)</t>
  </si>
  <si>
    <t xml:space="preserve"> Trường THPT Chu Văn An(1049858)</t>
  </si>
  <si>
    <t xml:space="preserve"> Trường Trung học phổ thông Bùi Dục Tài(1049863)</t>
  </si>
  <si>
    <t xml:space="preserve"> Trường THPT Lao Bảo(1051853)</t>
  </si>
  <si>
    <t xml:space="preserve"> Trường Trung học cơ sở và Trung học phổ thông Tân Lâm(1051859)</t>
  </si>
  <si>
    <t xml:space="preserve"> Trường PT dân tộc nội trú tỉnh QuảngTrị(1051860)</t>
  </si>
  <si>
    <t xml:space="preserve"> Trường Trung học cơ sở và Trung học phổ thông Cồn Tiên(1051861)</t>
  </si>
  <si>
    <t xml:space="preserve"> Trường Trẻ em khuyết tật tỉnh Quảng Trị(1064139)</t>
  </si>
  <si>
    <t xml:space="preserve"> Trường THPT Vĩnh Linh(1064141)</t>
  </si>
  <si>
    <t xml:space="preserve"> Trường Trung học phổ thông Vĩnh Định(1076065)</t>
  </si>
  <si>
    <t xml:space="preserve"> Trường THPT A Túc(1084104)</t>
  </si>
  <si>
    <t xml:space="preserve"> Trường THPT Hướng Phùng(1084105)</t>
  </si>
  <si>
    <t xml:space="preserve"> Trường THPT Nguyễn Hữu Thận(1100091)</t>
  </si>
  <si>
    <t xml:space="preserve"> Trường Trung học cơ sở và Trung học phổ thông Đakrông(1102923)</t>
  </si>
  <si>
    <t xml:space="preserve"> Trường Trung học phổ thông Chế Lan Viên(1105120)</t>
  </si>
  <si>
    <t xml:space="preserve"> Trường Trung học cơ sở và Trung học phổ thông Bến Quan(1122542)</t>
  </si>
  <si>
    <t xml:space="preserve"> Văn phòng Sở Y tế(1046083)</t>
  </si>
  <si>
    <t xml:space="preserve"> Phòng quản lý sức khoẻ cán bộ tỉnh Quảng Trị(1023774)</t>
  </si>
  <si>
    <t xml:space="preserve"> Trung tâm Pháp y Quảng Trị(1028833)</t>
  </si>
  <si>
    <t xml:space="preserve"> Trung tâm Y tế huyện Triệu Phong(1032920)</t>
  </si>
  <si>
    <t xml:space="preserve"> Trung tâm Y tế thành phố Đông Hà(1032924)</t>
  </si>
  <si>
    <t xml:space="preserve"> Trung tâm Y tế huyện Gio Linh(1032925)</t>
  </si>
  <si>
    <t xml:space="preserve"> Trung tâm Y tế huyện Vĩnh Linh(1032926)</t>
  </si>
  <si>
    <t xml:space="preserve"> Trung tâm Y tế huyện Hải Lăng(1032928)</t>
  </si>
  <si>
    <t xml:space="preserve"> Trung tâm Y tế huyện Cam Lộ(1032930)</t>
  </si>
  <si>
    <t xml:space="preserve"> Trung tâm Y tế huyện Hướng Hóa(1033133)</t>
  </si>
  <si>
    <t xml:space="preserve"> Trung tâm Mắt(1035230)</t>
  </si>
  <si>
    <t xml:space="preserve"> Trung tâm y tế TX Quảng Trị(1035970)</t>
  </si>
  <si>
    <t xml:space="preserve"> Trung tâm kiểm nghiệm thuốc, mỹ phẩm, thực phẫm(1036824)</t>
  </si>
  <si>
    <t xml:space="preserve"> Bệnh viện Đa khoa khu vực Triệu Hải(1039423)</t>
  </si>
  <si>
    <t xml:space="preserve"> Trung tâm  giám định Y khoa Quảng Trị(1045906)</t>
  </si>
  <si>
    <t xml:space="preserve"> Bệnh viện Y học cổ truyền và Phục hồi chức năng tỉnh Quảng Trị(1067505)</t>
  </si>
  <si>
    <t xml:space="preserve"> Bệnh viện đa khoa tỉnh Quảng Trị(1078670)</t>
  </si>
  <si>
    <t xml:space="preserve"> VP Chi cục Dân số - Kế hoạch hoá gia đình tỉnh Quảng Trị(1081196)</t>
  </si>
  <si>
    <t xml:space="preserve"> Trung tâm Y tế huyện Đakrông(1083960)</t>
  </si>
  <si>
    <t xml:space="preserve"> Chi cục An toàn vệ sinh Thực phẩm(1096703)</t>
  </si>
  <si>
    <t xml:space="preserve"> Ban quản lý Quỹ khám chữa bệnh cho người nghèo trên địa bàn tỉnh Quảng Trị(1119796)</t>
  </si>
  <si>
    <t xml:space="preserve"> Bệnh viện Chuyên khoa Lao và Bệnh phổi tỉnh Quảng Trị(1120302)</t>
  </si>
  <si>
    <t xml:space="preserve"> Trung tâm Y tế quân - dân y huyện đảo Cồn Cỏ(1123757)</t>
  </si>
  <si>
    <t xml:space="preserve"> Trung tâm Kiểm soát bệnh tật tỉnh Quảng Trị(1127896)</t>
  </si>
  <si>
    <t xml:space="preserve"> Ban quản lý dự án Sáng kiến ngăn chặn và loại trừ sốt rét kháng thuốc Artemisinin giai đoạn 2021-2023 tỉnh Quảng Trị(3030805)</t>
  </si>
  <si>
    <t xml:space="preserve"> VP Sở Lao động Thương binh và Xã hội tỉnh Quảng Trị(1045621)</t>
  </si>
  <si>
    <t xml:space="preserve"> Phòng Lao động - Thương binh và Xã hội huyện Hải Lăng(1017542)</t>
  </si>
  <si>
    <t xml:space="preserve"> Phòng Lao động - Thương binh và Xã hội huyện Triệu Phong(1021657)</t>
  </si>
  <si>
    <t xml:space="preserve"> Phòng Lao động - Thương binh và Xã hội huyện Gio Linh(1023054)</t>
  </si>
  <si>
    <t xml:space="preserve"> Phòng Lao động - Thương binh và Xã hội TP Đông Hà(1023056)</t>
  </si>
  <si>
    <t xml:space="preserve"> Phòng Lao động - Thương binh và Xã hội huyện Vĩnh Linh(1023502)</t>
  </si>
  <si>
    <t xml:space="preserve"> Ban Quản lý Nghĩa trang và Đón tiếp thân nhân liệt sỹ tỉnh Quảng Trị(1036342)</t>
  </si>
  <si>
    <t xml:space="preserve"> Trung tâm điều dưỡng người có công và bảo trợ xã hội(1039421)</t>
  </si>
  <si>
    <t xml:space="preserve"> Trung tâm dịch vụ việc làm Quảng Trị(1039502)</t>
  </si>
  <si>
    <t xml:space="preserve"> Phòng Lao động - Thương binh và Xã hội huyện Hướng Hóa(1081007)</t>
  </si>
  <si>
    <t xml:space="preserve"> Phòng Lao động - Thương binh và Xã hội huyện Cam Lộ(1081195)</t>
  </si>
  <si>
    <t xml:space="preserve"> Trung tâm Bảo trợ Xã hội tổng hợp 1 tỉnh Quảng Trị(1125204)</t>
  </si>
  <si>
    <t xml:space="preserve"> VP Sở Văn hóa, Thể thao và Du lịch tỉnh Quảng Trị(1035904)</t>
  </si>
  <si>
    <t xml:space="preserve"> Trung tâm huấn luyện và thi đấu TDTT Quảng Trị(1035901)</t>
  </si>
  <si>
    <t xml:space="preserve"> Đoàn nghệ thuật truyền thống tỉnh Quảng Trị(1036514)</t>
  </si>
  <si>
    <t xml:space="preserve"> Trung tâm Quản lý di tích và Bảo tàng tỉnh Quảng Trị(1036991)</t>
  </si>
  <si>
    <t xml:space="preserve"> Trung tâm Văn hóa - Điện ảnh tỉnh Quảng Trị(1039496)</t>
  </si>
  <si>
    <t xml:space="preserve"> Thư viện tỉnh QuảngTrị(1047115)</t>
  </si>
  <si>
    <t xml:space="preserve"> Sở Tài nguyên và Môi trường  Quảng Trị(1036095)</t>
  </si>
  <si>
    <t xml:space="preserve"> Trung tâm phát triển quỹ đất tỉnh Quảng Trị(1020818)</t>
  </si>
  <si>
    <t xml:space="preserve"> Trung tâm Quan trắc Tài nguyên và môi trường tỉnh Quảng Trị(1029290)</t>
  </si>
  <si>
    <t xml:space="preserve"> Văn phòng đăng ký đất đai tỉnh Quảng Trị(1033631)</t>
  </si>
  <si>
    <t xml:space="preserve"> Chi cục Bảo vệ môi trường Quảng Trị(1108199)</t>
  </si>
  <si>
    <t xml:space="preserve"> Ban quản lý Dự án Tăng cường quản lý đất đai và cơ sở dữ liệu đất đai tỉnh Quảng Trị(3027207)</t>
  </si>
  <si>
    <t xml:space="preserve"> Trung tâm CNTT và Truyền thông Quảng Trị(1028536)</t>
  </si>
  <si>
    <t xml:space="preserve"> Sở Thông tin và Truyền thông Quảng Trị(1031562)</t>
  </si>
  <si>
    <t xml:space="preserve"> Trung tâm Lưu trữ lịch sử tỉnh Quảng Trị(1033129)</t>
  </si>
  <si>
    <t xml:space="preserve"> Ban thi đua khen thưởng tỉnh Quảng Trị(1033527)</t>
  </si>
  <si>
    <t xml:space="preserve"> Sở Nội vụ Quảng Trị(1044899)</t>
  </si>
  <si>
    <t xml:space="preserve"> Ban Tôn giáo tỉnh Quảng Trị(1064368)</t>
  </si>
  <si>
    <t xml:space="preserve"> Thanh tra tỉnh Quảng Trị(1002327)</t>
  </si>
  <si>
    <t xml:space="preserve"> Đài Phát thanh - Truyền hình tỉnh Quảng Trị(1039498)</t>
  </si>
  <si>
    <t xml:space="preserve"> Liên minh hợp tác xã tỉnh Quảng Trị(1039494)</t>
  </si>
  <si>
    <t xml:space="preserve"> Ban Dân tộc tỉnh  Quảng Trị(1036682)</t>
  </si>
  <si>
    <t xml:space="preserve"> Tỉnh ủy Quảng Trị(1092760)</t>
  </si>
  <si>
    <t xml:space="preserve"> UB mặt trận tổ quốc Việt Nam tỉnh Quảng Trị(1039983)</t>
  </si>
  <si>
    <t xml:space="preserve"> Trung tâm hoạt động Thanh thiếu niên Quảng Trị(1031557)</t>
  </si>
  <si>
    <t xml:space="preserve"> Tỉnh  Đoàn Thanh  niên Quảng Trị(1035356)</t>
  </si>
  <si>
    <t xml:space="preserve"> Đoàn Khối các cơ quan tỉnh Quảng Trị(1036348)</t>
  </si>
  <si>
    <t xml:space="preserve"> Nhà thiếu nhi Quảng Trị(1036829)</t>
  </si>
  <si>
    <t xml:space="preserve"> Hội liên hiệp phụ nữ tỉnh Quảng trị(1039500)</t>
  </si>
  <si>
    <t xml:space="preserve"> Hội nông dân tỉnh Quảng Trị(1047159)</t>
  </si>
  <si>
    <t xml:space="preserve"> Hội Cựu Chiến binh tỉnh Quảng Trị(1036101)</t>
  </si>
  <si>
    <t xml:space="preserve"> Liên hiệp các Hội Khoa học - Kỹ thuật tỉnh Quảng Trị(1021049)</t>
  </si>
  <si>
    <t xml:space="preserve"> Liên hiệp các tổ chức hữu nghị tỉnh Quảng trị(1025389)</t>
  </si>
  <si>
    <t xml:space="preserve"> Hội Nhà báo Quảng Trị(1045909)</t>
  </si>
  <si>
    <t xml:space="preserve"> Hội Luật gia tỉnh Quảng Trị(3001065)</t>
  </si>
  <si>
    <t xml:space="preserve"> Hội Chữ Thập đỏ tỉnh Quảng Trị(1035908)</t>
  </si>
  <si>
    <t xml:space="preserve"> Hội người cao tuổi tỉnh Quảng Trị(1123597)</t>
  </si>
  <si>
    <t xml:space="preserve"> Hội người mù tỉnh Quảng Trị(1039503)</t>
  </si>
  <si>
    <t xml:space="preserve"> Hội Đông y tỉnh Quảng Trị(1045907)</t>
  </si>
  <si>
    <t xml:space="preserve"> Hội cựu thanh niên xung phong tỉnh Quảng Trị(1121457)</t>
  </si>
  <si>
    <t xml:space="preserve"> Hội khuyến học Tỉnh Quảng Trị(1121686)</t>
  </si>
  <si>
    <t xml:space="preserve"> Văn phòng Tòa án Nhân dân Tỉnh Quảng Trị(1003069)</t>
  </si>
  <si>
    <t xml:space="preserve"> Tạp chí Cửa Việt(1035902)</t>
  </si>
  <si>
    <t xml:space="preserve"> Trường Chính trị Lê Duẩn(1036761)</t>
  </si>
  <si>
    <t xml:space="preserve"> Trường Cao đẳng Y tế Quảng Trị(1036993)</t>
  </si>
  <si>
    <t xml:space="preserve"> Hội văn học nghệ thuật tỉnh Quảng Trị(1036995)</t>
  </si>
  <si>
    <t xml:space="preserve"> Công an Tỉnh(1053629)</t>
  </si>
  <si>
    <t xml:space="preserve"> Văn phòng Cục thuế tỉnh Quảng Trị - Cục thuế Tỉnh Quảng Trị(1056278)</t>
  </si>
  <si>
    <t xml:space="preserve"> Kho bạc Nhà nước Quảng Trị(1056448)</t>
  </si>
  <si>
    <t xml:space="preserve"> Bảo hiểm Xã hội Tỉnh Quảng Trị(1056972)</t>
  </si>
  <si>
    <t xml:space="preserve"> Văn phòng Cục Thống kê Tỉnh Quảng Trị(1059254)</t>
  </si>
  <si>
    <t xml:space="preserve"> Trường Cao đẳng sư phạm Quảng Trị(1064282)</t>
  </si>
  <si>
    <t xml:space="preserve"> Phòng Kinh tế và Hạ tầng huyện Hướng Hoá(1081009)</t>
  </si>
  <si>
    <t xml:space="preserve"> Ban An toàn giao thông Thành phố Đông Hà(1095646)</t>
  </si>
  <si>
    <t xml:space="preserve"> Ban An toàn giao thông huyện Triệu Phong(1095722)</t>
  </si>
  <si>
    <t xml:space="preserve"> Ban An toàn giao thông huyện Vĩnh Linh(1096951)</t>
  </si>
  <si>
    <t xml:space="preserve"> Ban an toàn giao thông huyện Đakrông(1097518)</t>
  </si>
  <si>
    <t xml:space="preserve"> Ban an toàn giao thông huyện Cam Lộ(1098020)</t>
  </si>
  <si>
    <t xml:space="preserve"> Ban ATGT huyện Đảo Cồn Cỏ(1100902)</t>
  </si>
  <si>
    <t xml:space="preserve"> Ban chỉ đạo ATGT huyện Gio Linh(1100911)</t>
  </si>
  <si>
    <t xml:space="preserve"> Ban quản lý khu kinh tế tỉnh Quảng Trị(1105032)</t>
  </si>
  <si>
    <t xml:space="preserve"> Ban an toàn giao thông thị xã Quảng Trị(1121057)</t>
  </si>
  <si>
    <t xml:space="preserve"> Ban An toàn giao thông huyện Hải Lăng(1121060)</t>
  </si>
  <si>
    <t xml:space="preserve"> Hội Người khuyết tật, nạn nhân da cam, bảo trợ người khuyết tật và bảo vệ quyền trẻ em tỉnh Quảng Trị(1121569)</t>
  </si>
  <si>
    <t xml:space="preserve"> Trung tâm Quản lý và Khai thác cơ sở hạ tầng khu kinh tế, khu công nghiệp Quảng Trị(1124015)</t>
  </si>
  <si>
    <t xml:space="preserve"> Quỹ Bảo trợ trẻ em tỉnh Quảng Trị(1125345)</t>
  </si>
  <si>
    <t xml:space="preserve"> Quỹ Phát triển khoa học và công nghệ tỉnh Quảng Trị(1125540)</t>
  </si>
  <si>
    <t xml:space="preserve"> Hội Y - Dược và Kế hoạch hóa gia đình tỉnh Quảng Trị(1126762)</t>
  </si>
  <si>
    <t xml:space="preserve"> Trường Cao đẳng kỹ thuật Quảng Trị(1130643)</t>
  </si>
  <si>
    <t xml:space="preserve"> Hội tù chính trị yêu nước tỉnh Quảng Trị(3004392)</t>
  </si>
  <si>
    <t xml:space="preserve"> Câu lạc bộ Đường 9 tỉnh Quảng Trị(3013827)</t>
  </si>
  <si>
    <t xml:space="preserve"> Đoàn Luật sư tỉnh Quảng Trị(3018970)</t>
  </si>
  <si>
    <t>Đơn vị tính: Triệu đồng</t>
  </si>
  <si>
    <t xml:space="preserve">CHI BỔ SUNG CÓ MỤC TIÊU </t>
  </si>
  <si>
    <t>BỘI CHI NSĐP/KẾT DƯ NSĐP</t>
  </si>
  <si>
    <t>Bổ sung vốn cho các quỹ tài chính nhà nước ngoài ngân sách cấp tỉnh; cấp vốn ủy thác qua Ngân hàng chính sách xã hội tỉnh</t>
  </si>
  <si>
    <t xml:space="preserve">Trong đó: </t>
  </si>
  <si>
    <t>- Bổ sung nguồn vốn cho Quỹ phát triển đất tỉnh</t>
  </si>
  <si>
    <t>- Bổ sung nguồn vốn Quỹ hỗ trợ nông dân</t>
  </si>
  <si>
    <t>- Bổ sung nguồn vốn ủy thác qua Ngân hàng CSXH tỉnh</t>
  </si>
  <si>
    <t>Vốn dự bị động viên</t>
  </si>
  <si>
    <t>Hỗ trợ doanh nghiệp vừa và nhỏ</t>
  </si>
  <si>
    <t>Thực hiện nhiệm vụ đảm bảo trật tự an toàn giao thông (2)</t>
  </si>
  <si>
    <t xml:space="preserve">Kinh phí quản lý, bảo trì đường bộ </t>
  </si>
  <si>
    <t>Chương trình mục tiêu quốc gia PT vùng ĐB DTTS</t>
  </si>
  <si>
    <t xml:space="preserve">Trường Cao đẳng Y tế Quảng Trị </t>
  </si>
  <si>
    <t>UBMT TQVN tỉnh</t>
  </si>
  <si>
    <t>Hội Cựu chiến binh tỉnh</t>
  </si>
  <si>
    <t>CTMTQG phát triển kinh tế vùng ĐBDTTS và MN</t>
  </si>
  <si>
    <t>Bổ sung vốn thực hiện chương trình MTQG</t>
  </si>
  <si>
    <t>Cục Thống kê tỉnh</t>
  </si>
  <si>
    <t>Trung tâm quản lý Di tích và Bảo tàng</t>
  </si>
  <si>
    <t xml:space="preserve">Trung tâm trợ giúp pháp lý </t>
  </si>
  <si>
    <t>Sở VHTTDL</t>
  </si>
  <si>
    <t>Sở Giáo dục và đào tạo</t>
  </si>
  <si>
    <t>KBT thiên nhiên Bắc HH</t>
  </si>
  <si>
    <t>KBT thiên nhiên Đakrông</t>
  </si>
  <si>
    <t>BQL rừng PH Hướng hóa - Đakrông</t>
  </si>
  <si>
    <t>BQL rừng PH Bến Hải</t>
  </si>
  <si>
    <t xml:space="preserve">Chi cục Phát triển nông thôn </t>
  </si>
  <si>
    <t>ỦY BAN NHÂN DÂN 
TỈNH QUẢNG TRỊ</t>
  </si>
  <si>
    <t>Biểu mẫu số 75</t>
  </si>
  <si>
    <t>TT</t>
  </si>
  <si>
    <t>Dư nợ đầu kỳ (ngày 01 tháng 01)</t>
  </si>
  <si>
    <t>Vay trong kỳ</t>
  </si>
  <si>
    <t>Trả nợ trong năm</t>
  </si>
  <si>
    <t xml:space="preserve">Dư nợ cuối kỳ </t>
  </si>
  <si>
    <t>Theo số đã nhận nợ (USD)</t>
  </si>
  <si>
    <t>Theo số đã nhận nợ (VNĐ)</t>
  </si>
  <si>
    <t>Trong đó: số GTGC qua KBNN tỉnh</t>
  </si>
  <si>
    <t>Gốc</t>
  </si>
  <si>
    <t>Lãi</t>
  </si>
  <si>
    <t>Theo số đã GTGC tại KBNN</t>
  </si>
  <si>
    <t>8= 1 +3-5</t>
  </si>
  <si>
    <t>9=1+4-5</t>
  </si>
  <si>
    <t>Vay phát hành trái phiếu chính quyền địa phương</t>
  </si>
  <si>
    <t>Tạm ứng ngân quỹ nhà nước</t>
  </si>
  <si>
    <t>Vay các tổ chức tài chính, tín dụng</t>
  </si>
  <si>
    <t>Vay Ngân hàng Phát triển Việt Nam (1)</t>
  </si>
  <si>
    <t>Vay các tổ chức tài chính, tín dụng (2)</t>
  </si>
  <si>
    <t>Vay lại vốn vay nước ngoài (3)</t>
  </si>
  <si>
    <t>Dự án Sửa chữa và nâng cao an toàn đập (WB 8)</t>
  </si>
  <si>
    <t>Dự án tăng cường quản lý đất đai và cơ sở dữ liệu đất đai tỉnh Quảng Trị (VILG)</t>
  </si>
  <si>
    <t>Dự án: Hiện dại hóa ngành lâm nghiệp và tăng cường tính chống chịu ứng biến (FMCR)</t>
  </si>
  <si>
    <t xml:space="preserve">Dự án xây dựng cầu dân sinh và Quản lý tài sản đường địa phương (LRAMP) </t>
  </si>
  <si>
    <t>ĐTXD và phát triển hệ thống cung ứng dịch vụ y tế tuyến cơ sở</t>
  </si>
  <si>
    <t>Dự án "Phát triển cơ sở hạ tầng du lịch hỗ trợ cho tăng trưởng toàn diện khu vực tiểu vùng Mê Kông mở rộng giai đoạn 2" - TDA tỉnh Quảng Trị</t>
  </si>
  <si>
    <t>Phát triển các đô thị dọc hành lang tiểu vùng sông Mê Kông, hợp phần tỉnh Quảng Trị, phần vốn kết dư (GMS)</t>
  </si>
  <si>
    <t>Hạ tầng cơ bản cho phát triển toàn diện tỉnh Quảng Trị (BIIG 2)</t>
  </si>
  <si>
    <t>Vay các tổ chức khác (2)</t>
  </si>
  <si>
    <t>(1) Không bao gồm các khoản vay lại vốn vay nước ngoài ủy thác qua Ngân hàng Phát triển Việt Nam.</t>
  </si>
  <si>
    <t>(2) Chi tiết theo các tổ chức cho vay.</t>
  </si>
  <si>
    <t>(3) Bao gồm các khoản vay lại vốn vay nước ngoài ủy thác qua Ngân hàng Phát triển Việt Nam.</t>
  </si>
  <si>
    <t>Vốn sự nghiệp thực hiện một số chính sách, nhiệm vụ</t>
  </si>
  <si>
    <t>Vốn đầu tư để thực hiện các CTMT quốc gia</t>
  </si>
  <si>
    <t>Vốn sự nghiệp thực hiện các hiện các CTMT quốc gia</t>
  </si>
  <si>
    <t>Chi thực hiện Chương trình MTQG Xây dựng nông thôn mới</t>
  </si>
  <si>
    <t>Chi thực hiện Chương trình MTQG Xây dựng nông thôn mới- NSĐP</t>
  </si>
  <si>
    <t>100%</t>
  </si>
  <si>
    <t xml:space="preserve"> Văn phòng Đoàn ĐBQH và HĐND tỉnh Quảng Trị(1036285)</t>
  </si>
  <si>
    <t>Sở Nông nghiệp và Phát triển nông thôn</t>
  </si>
  <si>
    <t>99.91%</t>
  </si>
  <si>
    <t>Sở Giao thông - Vận tải</t>
  </si>
  <si>
    <t xml:space="preserve"> Trường Trung Học phổ thông  Hướng Hoá(1036346)</t>
  </si>
  <si>
    <t xml:space="preserve"> Trường THPT Nguyễn Du - Huyện Gio Linh(1036779)</t>
  </si>
  <si>
    <t>Sở Lao động - Thương binh và Xã hội</t>
  </si>
  <si>
    <t xml:space="preserve"> Phòng Lao động - Thương binh và Xã hội huyện Đakrông(1036570)</t>
  </si>
  <si>
    <t>Sở Văn hóa, Thể thao và Du lịch</t>
  </si>
  <si>
    <t>Sở Thông tin và Truyền thông</t>
  </si>
  <si>
    <t>Đài Phát thanh - Truyền hình</t>
  </si>
  <si>
    <t>Ủy ban Mặt trận Tổ quốc tỉnh</t>
  </si>
  <si>
    <t xml:space="preserve"> Trung tâm hỗ trợ Nông dân tỉnh(1028832)</t>
  </si>
  <si>
    <t xml:space="preserve"> Tỉnh chi BSNS  Công ty TNHH một thành viên quản lý khai thác công trình thuỷ lợi Quảng Trị(1079536)</t>
  </si>
  <si>
    <t xml:space="preserve"> Công ty Cổ phần Môi trường và công trình đô thị Đông Hà(1064127)</t>
  </si>
  <si>
    <t xml:space="preserve"> Trường Phổ thông liên cấp Cao đẳng Sư phạm Quảng Trị(1131507)</t>
  </si>
  <si>
    <t>VP Đoàn ĐBQH và HĐND tỉnh</t>
  </si>
  <si>
    <t>7. Hội văn học nghệ thuật</t>
  </si>
  <si>
    <t>Đài Phát thanh Truyền hình</t>
  </si>
  <si>
    <t>Trường Phổ thông liên cấp</t>
  </si>
  <si>
    <t>Kinh phí 81/2021/NĐ-CP</t>
  </si>
  <si>
    <t>Đào tạo nghề lao động cho nông thôn và đào tạo bồi dưỡng giáo viên dạy nghề</t>
  </si>
  <si>
    <t>Trung tâm BTXHTH 1</t>
  </si>
  <si>
    <t>Chi cục Kiểm lâm</t>
  </si>
  <si>
    <t>Bệnh viện Y học cổ truyền và phục hồi chức năng</t>
  </si>
  <si>
    <t>Công tác đo đạc, đăng ký đất đai, lập cơ sở dữ liệu hồ sơ địa chính và cấp giấy chứng nhận quyền sử dụng đất theo yêu cầu tại Chỉ thị số 1474/CT-TTg ngày 24 tháng 8 năm 2011 của Thủ tướng Chính phủ (***)</t>
  </si>
  <si>
    <t xml:space="preserve">Sở Giáo dục và Đào tạo </t>
  </si>
  <si>
    <t>Trung tâm hỗ trợ nông dân</t>
  </si>
  <si>
    <t xml:space="preserve"> Cải tạo, nâng cấp, mở rộng tuyến đường cứu hộ, cứu nạn, kè chống xói lở; PCLB và PTKT khu vực hai bên bờ sông Thạch Hãn đoạn từ thượng lưu cầu Thạ(7275097)</t>
  </si>
  <si>
    <t xml:space="preserve"> Phục hồi và quản lý bền vững rừng phòng hộ tỉnh Quảng Trị(7363234)</t>
  </si>
  <si>
    <t xml:space="preserve"> Sửa chữa và nâng cao an toàn đập (WB8), tỉnh Quảng Trị(7654883)</t>
  </si>
  <si>
    <t xml:space="preserve"> Hệ thống thủy lợi Ba Hồ - Bản Chùa(7704004)</t>
  </si>
  <si>
    <t xml:space="preserve"> Đường nối từ cầu Thạch Hãn đến trung tâm phường An Đôn, thị xã Quảng Trị(7746454)</t>
  </si>
  <si>
    <t xml:space="preserve"> Dự án Hiện đại hóa ngành lâm nghiệp và tăng cường tính chống chịu vùng ven biển tỉnh Quảng Trị(7750871)</t>
  </si>
  <si>
    <t xml:space="preserve"> Hệ thống cấp nước sinh hoạt tập trung vùng nông thôn tỉnh Quảng Trị(7944319)</t>
  </si>
  <si>
    <t xml:space="preserve"> Đầu tư thiết bị đo lường thử nghiệm và công nghệ sinh học (giai đoạn 1)(7921428)</t>
  </si>
  <si>
    <t xml:space="preserve"> Cầu Cam Hiếu, huyện Cam Lộ, tỉnh Quảng Trị(7313440)</t>
  </si>
  <si>
    <t xml:space="preserve"> Xây dựng cầu dân sinh và quản lý tài sản đường địa phương (Local Road Assets Management Project - LRAMP)(7593697)</t>
  </si>
  <si>
    <t xml:space="preserve"> Đường nối cầu An Mô vào Khu lưu niệm Tổng Bí thư Lê Duẩn(7658520)</t>
  </si>
  <si>
    <t xml:space="preserve"> Xây dựng đường gom từ các lối đi tự mở đến đường ngang qua đường sắt trên địa bàn tỉnh Quảng Trị, giai đoạn 2020 - 2022(7844125)</t>
  </si>
  <si>
    <t xml:space="preserve"> Đường ven biển kết nối hành lang kinh tế Đông Tây, tỉnh Quảng Trị - Giai đoạn 1(7894373)</t>
  </si>
  <si>
    <t xml:space="preserve"> Dự án Giải phóng mặt bằng để thực hiện dự án nâng cấp, mở rộng quốc lộ 9 đoạn từ quốc lộ 1A đến cảng Cửa Việt(7904711)</t>
  </si>
  <si>
    <t xml:space="preserve"> Xây dựng hệ thống camera giám sát trật tự an toàn giao thông, kết hợp giám sát an ninh trật tự các khu vực trọng yếu trên địa bàn tỉnh Quảng Trị(7920147)</t>
  </si>
  <si>
    <t xml:space="preserve"> Cầu Kênh mới, xã Vĩnh Chấp, huyện Vĩnh Linh(7920150)</t>
  </si>
  <si>
    <t xml:space="preserve"> Đường nối từ cầu chui đường sắt (tại nút giao ĐT.575a với QL1) đi ĐT.575b, huyện Gio Linh(7929840)</t>
  </si>
  <si>
    <t xml:space="preserve"> Đường hai đầu cầu dây văng Sông Hiếu - giai đoạn 1(7939179)</t>
  </si>
  <si>
    <t xml:space="preserve"> Trang thiết bị dạy học Trường THPT chuyên Lê Quý Đôn(7947682)</t>
  </si>
  <si>
    <t xml:space="preserve"> Dự án đầu tư nâng cấp cơ sở vật chất nghành y tế(7271772)</t>
  </si>
  <si>
    <t xml:space="preserve"> Cải tạo và nâng cấp Trung tâm y tế huyện Cam Lộ(7878745)</t>
  </si>
  <si>
    <t xml:space="preserve"> Phát triển cơ sở hạ tầng du lịch hỗ trợ cho tăng trưởng toàn diện khu vực tiểu vùng Mê Công mở rộng, giai đoạn 2- Tiểu dự án tỉnh Quảng Trị(7740197)</t>
  </si>
  <si>
    <t xml:space="preserve"> Khu đô thị Nam Đông Hà giai đoạn 3(7263704)</t>
  </si>
  <si>
    <t xml:space="preserve"> Khu đô thị sinh thái Nam Đông Hà(7463424)</t>
  </si>
  <si>
    <t xml:space="preserve"> Xây dựng cơ sở hạ tầng Khu vực Bắc sông Hiếu(7539183)</t>
  </si>
  <si>
    <t xml:space="preserve"> Tăng cường quản lý đất đai và cơ sở dữ liệu đất đai tỉnh Quảng Trị (WB)(7623879)</t>
  </si>
  <si>
    <t xml:space="preserve"> Khu đô thị Bắc sông Hiếu giai đoạn 2(7674034)</t>
  </si>
  <si>
    <t xml:space="preserve"> Đường Trần Bình Trọng (đoạn từ đập ngăn mặn sông Hiếu đến Quốc lộ 9)(7813052)</t>
  </si>
  <si>
    <t xml:space="preserve"> Nghĩa trang phục vụ di dời mộ khu vực Bắc sông Hiếu(7815939)</t>
  </si>
  <si>
    <t xml:space="preserve"> Khu đô thị Tân Vĩnh (phần tái cơ cấu của dự án Khu đô thị Nam Đông Hà giai đoạn 3)(7854779)</t>
  </si>
  <si>
    <t xml:space="preserve"> Hoàn thiện hạ tầng đường Trần Bình Trọng (đoạn từ đường Nguyễn Trung Trực đến đường Điện Biên Phủ)(7854780)</t>
  </si>
  <si>
    <t xml:space="preserve"> Sửa chữa Trụ sở làm việc và kho lưu trữ các Chi nhánh Văn phòng Đăng ký đất đai(7955292)</t>
  </si>
  <si>
    <t xml:space="preserve"> Mô hình điểm trung chuyển rác, xử lý rác tại các xã thuộc địa bàn các huyện Hải Lăng, Vĩnh Linh, Triệu Phong(7961437)</t>
  </si>
  <si>
    <t xml:space="preserve"> Đầu tư cơ sở vật chất Đài truyền thanh cấp huyện trên địa bàn tỉnh Quảng Trị(7944327)</t>
  </si>
  <si>
    <t xml:space="preserve"> Hoàn thiện, hiện đại hoá hồ sơ, bản đồ, mốc địa giới hành chính và xây dựng CSDL về địa giới hành chính các cấp trên địa bàn tỉnh Quảng Trị(7463105)</t>
  </si>
  <si>
    <t xml:space="preserve"> Cải tạo Nhà khách Tỉnh ủy Quảng Trị(7816955)</t>
  </si>
  <si>
    <t xml:space="preserve"> Bộ Chỉ huy Quân Sự tỉnh(7004686)</t>
  </si>
  <si>
    <t xml:space="preserve"> Cầu sông Hiếu và đường hai đầu cầu, thành phố Đông Hà, tỉnh Quảng Trị(7173521)</t>
  </si>
  <si>
    <t xml:space="preserve"> Hoàn thiện kết cấu hạ tầng một số tuyến chính tại khu Kinh tế - Thương mại đặc biệt Lao Bảo (giai đoạn 2)(7506283)</t>
  </si>
  <si>
    <t xml:space="preserve"> Hệ thống xử lý nước thải tại Khu công nghiệp Quán Ngang (Giai đoạn 1)(7562035)</t>
  </si>
  <si>
    <t xml:space="preserve"> Cầu Bến Lội xã Triệu Giang, huyện Triệu Phong(7568089)</t>
  </si>
  <si>
    <t xml:space="preserve"> Nâng cấp hồ chứa nước thị trấn Gio Linh, huyện Gio Linh(7568517)</t>
  </si>
  <si>
    <t xml:space="preserve"> Xây dựng hệ thống đường giao thông thành phố Đông Hà(7589660)</t>
  </si>
  <si>
    <t xml:space="preserve"> Đường nối khu công nghiệp Đông Nam Quảng Trị đến cảng Cửa Việt (Đường trung tâm trục dọc Khu kinh tế Đông Nam tỉnh Quảng Trị)(7622621)</t>
  </si>
  <si>
    <t xml:space="preserve"> Kênh tiêu Như lệ, xã Hải Lệ, thị xã Quảng Trị(7748520)</t>
  </si>
  <si>
    <t xml:space="preserve"> Trường Trung học phổ thông Bùi Dục Tài, huyện Hải Lăng(7753271)</t>
  </si>
  <si>
    <t xml:space="preserve"> Đầu tư xây dựng và phát triển hệ thống cung ứng dịch vụ y tế tuyến cơ sở dự án thành phần tại tỉnh Quảng Trị(7768216)</t>
  </si>
  <si>
    <t xml:space="preserve"> Bệnh viện đa khoa tỉnh Quảng Trị, hạng mục: Nhà điều trị nội trú Khoa ung bướu(7804811)</t>
  </si>
  <si>
    <t xml:space="preserve"> Trung tâm bồi dưỡng chính trị thành phố Đông Hà(7810186)</t>
  </si>
  <si>
    <t xml:space="preserve"> Trung tâm văn hóa thể thao huyện Hải Lăng(7832950)</t>
  </si>
  <si>
    <t xml:space="preserve"> Nhà Văn hóa huyện Gio Linh(7839360)</t>
  </si>
  <si>
    <t xml:space="preserve"> Đường huyện ĐH.43, huyện Triệu Phong(7863547)</t>
  </si>
  <si>
    <t xml:space="preserve"> Trường mầm non Hải Thái, huyện Gio Linh(7873478)</t>
  </si>
  <si>
    <t xml:space="preserve"> Trường Tiểu học và THCS xã Triệu Độ, huyện Triệu Phong(7879594)</t>
  </si>
  <si>
    <t xml:space="preserve"> Trường trung học cơ sở Thành Cổ, thị xã Quảng Trị (Giai đoạn 1)(7880147)</t>
  </si>
  <si>
    <t xml:space="preserve"> Hệ thống tiêu thoát nước khu phố 3 phường An Đôn(7882227)</t>
  </si>
  <si>
    <t xml:space="preserve"> Nhà nội trú Trường THPT Đakrông(7883449)</t>
  </si>
  <si>
    <t xml:space="preserve"> Xây dựng mới Trường THCS Nguyễn Trãi (giai đoạn 2)(7888664)</t>
  </si>
  <si>
    <t xml:space="preserve"> Trường TH  THCS Hải Ba; Hạng mục: Phòng học(7890929)</t>
  </si>
  <si>
    <t xml:space="preserve"> Trường TH  THCS Thiện - Thành; Hạng mục: Phòng học bộ môn(7891301)</t>
  </si>
  <si>
    <t xml:space="preserve"> Hệ thống thoát nước và điện chiếu sáng Khu di tích Chính phủ cách mạng lâm thời cộng hòa miền nam Việt Nam(7894369)</t>
  </si>
  <si>
    <t xml:space="preserve"> Trường THTHCS Vĩnh Hòa (điểm trường THCS), Hạng mục: Nhà 2 tầng, 6 phòng học bộ môn(7896100)</t>
  </si>
  <si>
    <t xml:space="preserve"> Trường Mầm non số 2 Kim Thạch; Hạng mục: Nhà hiệu bộ và phòng học chức năng(7896163)</t>
  </si>
  <si>
    <t xml:space="preserve"> Trường Phổ thông dân tộc nội trú huyện Vĩnh Linh; Hạng mục: Nhà Nội trú(7896166)</t>
  </si>
  <si>
    <t xml:space="preserve"> Trung tâm y tế huyện Vĩnh Linh; Hạng mục; Khoa chẩn đoán hình ảnh, Khoa truyền nhiễm(7897197)</t>
  </si>
  <si>
    <t xml:space="preserve"> Đường giao thông và cầu qua sông Nhùng, huyện Hải Lăng(7901850)</t>
  </si>
  <si>
    <t xml:space="preserve"> Trường Trung học cơ sở và Trung học phổ thông Cồn Tiên, hạng mục: Nhà học thực hành(7903335)</t>
  </si>
  <si>
    <t xml:space="preserve"> Trường Trung học cơ sở và Trung học phổ thông Bến Quan, hạng mục: Nhà học thực hành(7903336)</t>
  </si>
  <si>
    <t xml:space="preserve"> Trường TH  THCS Hải Chánh; Hạng mục: Nhà học bộ môn(7903598)</t>
  </si>
  <si>
    <t xml:space="preserve"> Kênh tiêu úng Mụ cheo, xã Triệu Sơn, huyện Triệu Phong thuộc dự án: Hệ thống tưới, tiêu phục vụ sản xuất nông nghiệp tỉnh Quảng Trị(7904866)</t>
  </si>
  <si>
    <t xml:space="preserve"> Trường THCS thị trấn Krông Klang; Hạng mục: Nhà hiệu bộ(7907940)</t>
  </si>
  <si>
    <t xml:space="preserve"> Trường tiểu học thị trấn Krông Klang; Hạng mục: Nhà 02 tầng 08 phòng học(7907941)</t>
  </si>
  <si>
    <t xml:space="preserve"> Chợ trung tâm khu vực Tà Rụt, huyện Đakrông(7910695)</t>
  </si>
  <si>
    <t xml:space="preserve"> Nâng cấp một số tuyến đường nội thị thị trấn Khe sanh, huyện Hướng Hóa(7911837)</t>
  </si>
  <si>
    <t xml:space="preserve"> Trường Mầm non Bình Minh , xã Cam Chính(7913561)</t>
  </si>
  <si>
    <t xml:space="preserve"> Trường Mầm non Tuổi Hoa, xã Thanh An(7913562)</t>
  </si>
  <si>
    <t xml:space="preserve"> Trung tâm chính trị huyện Vĩnh Linh, hạng mục: Xây mới nhà hội trường và các hạng mục phụ trợ(7915494)</t>
  </si>
  <si>
    <t xml:space="preserve"> Trường mầm non Phong Bình số 1, hạng mục: 6 phòng học(7917267)</t>
  </si>
  <si>
    <t xml:space="preserve"> Trường Mầm non A Túc(7919384)</t>
  </si>
  <si>
    <t xml:space="preserve"> Đường Nguyễn Trãi nối dài (đoạn từ Quốc lộ 9 đến đường Trần Bình Trọng), thành phố Đông Hà(7919386)</t>
  </si>
  <si>
    <t xml:space="preserve"> Trường mầm non Triệu Sơn; Hạng mục: Nhà 02 tầng, 06 phòng học(7920757)</t>
  </si>
  <si>
    <t xml:space="preserve"> Trường THCS Nguyễn Bỉnh Khiêm; Hạng mục: Nhà 02 tầng 06 phòng học(7920759)</t>
  </si>
  <si>
    <t xml:space="preserve"> Vỉa hè và hệ thống thoát nước đường Lý Thường Kiệt, thành phố Đông Hà(7920767)</t>
  </si>
  <si>
    <t xml:space="preserve"> Hoàn thiện công trình xây dựng Trung tâm Truyền hình kỹ thuật số Đài phát thanh - Truyền hình Quảng Trị(7920768)</t>
  </si>
  <si>
    <t xml:space="preserve"> Trường mầm non Triệu Giang; Hạng mục: Nhà 02 tầng, 06 phòng học(7920769)</t>
  </si>
  <si>
    <t xml:space="preserve"> Cải tạo, nâng cấp Bệnh viện chuyên khoa Lao và bệnh phổi; Hạng mục: Xây mới Khoa điều trị dịch bệnh nguy hiểm, Nhà cầu nối và cải tạo, sửa chữa một s(7921069)</t>
  </si>
  <si>
    <t xml:space="preserve"> Nhà văn hóa trung tâm thị xã Quảng Trị(7928946)</t>
  </si>
  <si>
    <t xml:space="preserve"> Đầu tư sửa chữa, nâng cấp cơ sở vật chất y tế tuyến tỉnh, tuyến huyện(7929254)</t>
  </si>
  <si>
    <t xml:space="preserve"> Trụ sở UBND xã Triệu Nguyên, huyện Đakrông(7929844)</t>
  </si>
  <si>
    <t xml:space="preserve"> Nhà đặt máy phát thanh, truyền hình tại Trung tâm truyền hình kỹ thuật số(7930977)</t>
  </si>
  <si>
    <t xml:space="preserve"> Sửa chữa Trụ sở Ủy ban nhân dân tỉnh Quảng Trị(7930978)</t>
  </si>
  <si>
    <t xml:space="preserve"> Trường Cao đẳng Kỹ thuật Quảng Trị, Hạng mục: Xây mới Giảng đường đa năng, Cải tạo và mở rộng Nhà hiệu bộ, Cải tạo khối phòng học(7933148)</t>
  </si>
  <si>
    <t xml:space="preserve"> Thành phần 2: Nâng cấp CSVC các ĐV trực thuộc sở GD và ĐT trên địa bàn huyện Đakrông, huyện Hướng Hóa thuộc dự án: Đầu tư NCCSVC các đơn vị trực thuộc (7933652)</t>
  </si>
  <si>
    <t xml:space="preserve"> Thành phần 3: Nâng cấp CSVC các ĐV trực thuộc sở GD và ĐT trên địa bàn huyện TP, huyện HL, TX Quảng Trị thuộc dự án: Đầu tư NCCSVC các đơn vị trực thuộc (7933653)</t>
  </si>
  <si>
    <t xml:space="preserve"> Thành phần 1: Nâng cấp CSVC các ĐV trực thuộc sở GD và ĐT trên địa bàn huyện VL, huyện GL, huyện CL và TP Đông Hà thuộc dự án: Đầu tư NCCSVC các đơn vị tr (7934255)</t>
  </si>
  <si>
    <t xml:space="preserve"> Nhà ở vận động viên năng khiếu tỉnh(7934557)</t>
  </si>
  <si>
    <t xml:space="preserve"> Đường giao thông vào thác Ba Vòi, huyện Đakrông(7934558)</t>
  </si>
  <si>
    <t xml:space="preserve"> Trường Tiểu học và THCS Hướng Việt; Hạng mục: Phòng học bộ môn(7936193)</t>
  </si>
  <si>
    <t xml:space="preserve"> Trường Tiểu học và THCS Tân Thành; Hạng mục: Nhà đa năng(7936196)</t>
  </si>
  <si>
    <t xml:space="preserve"> Cải tạo nhà học đa năng Trường Cao đẳng Sư phạm Quảng Trị(7936221)</t>
  </si>
  <si>
    <t xml:space="preserve"> Trường Trung học cơ sở Triệu An; Hạng mục: nhà 02 tầng 06 phòng học(7939180)</t>
  </si>
  <si>
    <t xml:space="preserve"> Vỉa hè và hệ thống thoát nước đường Trần Cao Vân(7939181)</t>
  </si>
  <si>
    <t xml:space="preserve"> Hội trường Huyện ủy Cam Lộ(7940815)</t>
  </si>
  <si>
    <t xml:space="preserve"> Trường THPT Triệu Phong. Hạng mục: Nhà chức năng, nhà học lý thuyết và thực hành(7940816)</t>
  </si>
  <si>
    <t xml:space="preserve"> Trạm Y tế xã Cam Nghĩa(7940817)</t>
  </si>
  <si>
    <t xml:space="preserve"> Trường Tiểu học Kim Đồng; Hạng mục: Xây dựng tầng 2, 3 phòng học(7940840)</t>
  </si>
  <si>
    <t xml:space="preserve"> Trạm y tế xã Vĩnh Thái, huyện Vĩnh Linh; Hạng mục: Xây mới nhà 2 tầng và các hạng mục phụ trợ(7940841)</t>
  </si>
  <si>
    <t xml:space="preserve"> Trường tiểu học Hướng Tân; Hạng mục: Nhà hiệu bộ, cổng, hàng rào(7944330)</t>
  </si>
  <si>
    <t xml:space="preserve"> Trường phổ thông dân tộc nội trú Gio Linh; Hạng mục: Xây mới nhà ở nội trú, cải tạo sửa chữa nhà học 2 tầng và chỉnh trang khuôn viên(7945318)</t>
  </si>
  <si>
    <t xml:space="preserve"> Trường THCS thị trấn Gio Linh; Hạng mục: Nhà học bộ môn(7945319)</t>
  </si>
  <si>
    <t xml:space="preserve"> Sửa chữa, nâng cấp công viên Lê Duẩn(7949785)</t>
  </si>
  <si>
    <t xml:space="preserve"> Trường Trung học Phổ thông Cam Lộ; Hạng mục: Nhà hiệu bộ và Nhà đa chức năng(7949790)</t>
  </si>
  <si>
    <t xml:space="preserve"> Nhà máy sản xuất, chế biến gỗ xuất khẩu nội, ngoại thất(8001460)</t>
  </si>
  <si>
    <t>- Bổ sung vốn điều lệ cho công ty NTHH MTV XSKT</t>
  </si>
  <si>
    <t>chi nsnn</t>
  </si>
  <si>
    <t>chi cgiao</t>
  </si>
  <si>
    <t>chi nộp trả</t>
  </si>
  <si>
    <t>chi cn</t>
  </si>
  <si>
    <t>Tabmis</t>
  </si>
  <si>
    <t>KHÔNG IN PHÀN NÀY</t>
  </si>
  <si>
    <t>Bổ sung vốn thực hiện 03 chương trình MTQG</t>
  </si>
  <si>
    <t>ỦY BAN NHÂN DÂN
 TỈNH QUẢNG TRỊ</t>
  </si>
  <si>
    <t>Phí theo Hiệp định vay</t>
  </si>
  <si>
    <t>Phí QLCVL</t>
  </si>
  <si>
    <t>Bộ Chỉ huy Bộ đội Biên phòng</t>
  </si>
  <si>
    <t>(Kèm theo Báo cáo số:             /BC-UBND ngày      tháng     năm 2024  của Ủy ban nhân dân tỉnh Quảng Trị)</t>
  </si>
  <si>
    <t>QUYẾT TOÁN CÂN ĐỐI NGÂN SÁCH ĐỊA PHƯƠNG NĂM 2023</t>
  </si>
  <si>
    <t>QUYẾT TOÁN NGUỒN THU NGÂN SÁCH NHÀ NƯỚC TRÊN ĐỊA BÀN THEO LĨNH VỰC NĂM 2023</t>
  </si>
  <si>
    <t>QUYẾT TOÁN CHI NGÂN SÁCH ĐỊA PHƯƠNG THEO LĨNH VỰC NĂM 2023</t>
  </si>
  <si>
    <t>QUYẾT TOÁN CHI NGÂN SÁCH CẤP TỈNH THEO LĨNH VỰC NĂM 2023</t>
  </si>
  <si>
    <t>QUYẾT TOÁN CHI NGÂN SÁCH ĐỊA PHƯƠNG, CHI NGÂN SÁCH CẤP TỈNH VÀ 
 CHI NGÂN SÁCH HUYỆN THEO CƠ CẤU CHI NĂM 2023</t>
  </si>
  <si>
    <t>QUYẾT TOÁN CHI NGÂN SÁCH CẤP TỈNH CHO TỪNG CƠ QUAN, TỔ CHỨC THEO LĨNH VỰC NĂM 2023</t>
  </si>
  <si>
    <t>QUYẾT TOÁN CHI ĐẦU TƯ PHÁT TRIỂN CỦA NGÂN SÁCH CẤP TỈNH CHO TỪNG CƠ QUAN, TỔ CHỨC THEO LĨNH VỰC NĂM 2023</t>
  </si>
  <si>
    <t>QUYẾT TOÁN CHI THƯỜNG XUYÊN CỦA NGÂN SÁCH CẤP TỈNH CHO TỪNG CƠ QUAN, TỔ CHỨC THEO LĨNH VỰC NĂM 2023</t>
  </si>
  <si>
    <t>TỔNG HỢP QUYẾT TOÁN CHI THƯỜNG XUYÊN NGÂN SÁCH CẤP TỈNH CỦA TỪNG CƠ QUAN, 
TỔ CHỨC THEO NGUỒN VỐN NĂM 2023</t>
  </si>
  <si>
    <t>QUYẾT TOÁN CHI NGÂN SÁCH ĐỊA PHƯƠNG TỪNG HUYỆN NĂM 2023</t>
  </si>
  <si>
    <t>QUYẾT TOÁN CHI BỔ SUNG TỪ NGÂN SÁCH CẤP TỈNH CHO NGÂN SÁCH TỪNG HUYỆN NĂM 2023</t>
  </si>
  <si>
    <t>QUYẾT TOÁN THU NGÂN SÁCH HUYỆN  NĂM 2023</t>
  </si>
  <si>
    <t>QUYẾT TOÁN CHI CHƯƠNG TRÌNH MỤC TIÊU QUỐC GIA NĂM 2023</t>
  </si>
  <si>
    <t>QUYẾT TOÁN VAY VÀ TRẢ NỢ NGÂN SÁCH ĐỊA PHƯƠNG NĂM 2023</t>
  </si>
  <si>
    <t>TỔNG HỢP THU DỊCH VỤ CỦA ĐƠN VỊ SỰ NGHIỆP CÔNG NĂM 2023</t>
  </si>
  <si>
    <t>Năm 2022 chuyển sang năm 2023</t>
  </si>
  <si>
    <t>12=C+1-11</t>
  </si>
  <si>
    <t>Văn phòng Sở Nông nghiệp - PTNT</t>
  </si>
  <si>
    <t>8. Báo Quảng Trị (Tỉnh ủy)</t>
  </si>
  <si>
    <t xml:space="preserve">KP chưa phân bổ </t>
  </si>
  <si>
    <t>KP đề án chuyển đổi số và hoạt động ứng dụng CNTT</t>
  </si>
  <si>
    <t>KP tiet kiem</t>
  </si>
  <si>
    <t>Trường Phổ thông dân tộc nội trú tỉnh</t>
  </si>
  <si>
    <t>Trường Phố thông Dân tộc nội trú</t>
  </si>
  <si>
    <t>IIV.9</t>
  </si>
  <si>
    <t>Chính sách học bổng cho học sinh PTDT nội trú theo TTLT số 109/2009/TTLT-BTC-BGDĐT</t>
  </si>
  <si>
    <t xml:space="preserve">Đao tạo, thu hút, bồi dưỡng theo Nghị quyết 166/2021/NQ-HĐND </t>
  </si>
  <si>
    <t>Bệnh viện khu vực Vĩnh Linh</t>
  </si>
  <si>
    <t>Chính sách hỗ trợ phát triển một số cây trồng, con nuôi tạo sản phẩm chủ lực có lợi thế cạnh tranh theo NQ 162/2021/NQ-HĐND</t>
  </si>
  <si>
    <t>Văn phòng Sở Nông nghiệp và PTNT</t>
  </si>
  <si>
    <t>2.8</t>
  </si>
  <si>
    <t>2.9</t>
  </si>
  <si>
    <t>2.10</t>
  </si>
  <si>
    <t>2.11</t>
  </si>
  <si>
    <t>2.12</t>
  </si>
  <si>
    <t>2.13</t>
  </si>
  <si>
    <t>2.14</t>
  </si>
  <si>
    <t>2.15</t>
  </si>
  <si>
    <t>2.16</t>
  </si>
  <si>
    <t>2.17</t>
  </si>
  <si>
    <t>2.18</t>
  </si>
  <si>
    <t>2.19</t>
  </si>
  <si>
    <t>2.20</t>
  </si>
  <si>
    <t>Văn phòng thường trực BCĐ 809</t>
  </si>
  <si>
    <t>2.21</t>
  </si>
  <si>
    <t>Trung tâm Điều tra Quy hoạch thiết kế Nông - Lâm Quảng Trị</t>
  </si>
  <si>
    <t>Duy tu, sửa chữa các công trình thủy lợi</t>
  </si>
  <si>
    <t xml:space="preserve">Kinh phí hỗ trợ sử dụng sản phẩm, dịch vụ công ích thủy lợi </t>
  </si>
  <si>
    <t>Nghị quyết số 163/2021/NQ-HĐND ngày 09/12/2021 của HĐND tỉnh về chính sách hỗ trợ ứng dụng, nhân rộng các kết quả KH&amp;CN</t>
  </si>
  <si>
    <t>Quỹ Khoa học và Công nghệ</t>
  </si>
  <si>
    <t>An ninh - Quốc phòng</t>
  </si>
  <si>
    <t>Chi Quốc Phòng</t>
  </si>
  <si>
    <t>Bệnh viện Triệu Hải</t>
  </si>
  <si>
    <t>Kế hoạch năm 2023</t>
  </si>
  <si>
    <t>Thực hiện năm 2023</t>
  </si>
  <si>
    <t>PHỤ LỤC III</t>
  </si>
  <si>
    <t>Biểu mẫu theo quy định tại Nghị định số 93/2018/NĐ-CP ngày 30 tháng 6 năm 2018 của Chính phủ)</t>
  </si>
  <si>
    <t>BÁO CÁO TÌNH HÌNH VAY VÀ TRẢ NỢ CỦA CHÍNH QUYỀN ĐỊA PHƯƠNG NĂM 2023</t>
  </si>
  <si>
    <t>Theo số đã nhận nợ (quy VNĐ)</t>
  </si>
  <si>
    <t>Chi cục Quản lý chất lượng nông, lâm sản và thủy sản</t>
  </si>
  <si>
    <t>Trung tâm Khuyến nông</t>
  </si>
  <si>
    <t>Triển khai Chương trình mỗi xã một sản phẩm. Hạng mục: Hỗ trợ máy móc thiết bị, nâng cao năng suất, chất lượng sản phẩm</t>
  </si>
  <si>
    <t>Công trình tăng cường bảo vệ môi trường, an toàn thực phẩm và cấp nước sạch nông thôn trong xây dựng nông thôn mới. Hạng mục: Xây dựng và lắp đặt bề thu gom bao gói thuốc BVTV sau sử dụng trên đồng ruộng; Xây dựng bề thu gom tái sử dụng và tái chế rác thải hữu cơ.</t>
  </si>
  <si>
    <t>Chương trình tăng cường BVMT, ATTP và cấp nước sạch nông thôn; HM: Hỗ trợ hầm Biogas để xử lý chất thải chăn nuôi và tận dụng khí sinh học làm chất đốt phục vụ sinh hoạt gia đình</t>
  </si>
  <si>
    <t>Dự toán năm 2023</t>
  </si>
  <si>
    <t>Hỗ trợ các Hội văn học nghệ thuật địa phương</t>
  </si>
  <si>
    <t>Hỗ trợ các Hội nhà báo địa phương</t>
  </si>
  <si>
    <t>Chương trình phát triển công tác xã hội và Chương trình trợ giúp xã hội đối với người tâm thần, trẻ em tự kỷ và người rối nhiễu tâm lý</t>
  </si>
  <si>
    <t>Kinh phí thực hiện Chương trình phát triển lâm nghiệp bền vững</t>
  </si>
  <si>
    <t>Chương trình mục tiêu trợ giúp XH đối với người tâm thần và trẻ em tự kỷ</t>
  </si>
  <si>
    <t>VP Sở LĐ, TBXH</t>
  </si>
  <si>
    <t/>
  </si>
  <si>
    <t>Dự toán
năm trước
chuyển sang</t>
  </si>
  <si>
    <t>Dự toán
đầu năm</t>
  </si>
  <si>
    <t>Dự toán
Bổ sung
Điều chỉnh</t>
  </si>
  <si>
    <t>Văn phòng Hội đồng nhân dân</t>
  </si>
  <si>
    <t>95.49%</t>
  </si>
  <si>
    <t>Văn phòng Ủy ban nhân dân</t>
  </si>
  <si>
    <t xml:space="preserve"> Trung tâm Điều tra Quy hoạch thiết kế Nông - Lâm Quảng Trị(1036578)</t>
  </si>
  <si>
    <t xml:space="preserve"> Tỉnh đội(1053630)</t>
  </si>
  <si>
    <t>99.57%</t>
  </si>
  <si>
    <t>99.71%</t>
  </si>
  <si>
    <t xml:space="preserve"> Văn phòng thường trực Chương trình phát triển lâm nghiệp bền vững tỉnh Quảng Trị, giai đoạn 2021-2025(1132603)</t>
  </si>
  <si>
    <t>10.26%</t>
  </si>
  <si>
    <t>99.89%</t>
  </si>
  <si>
    <t>97.52%</t>
  </si>
  <si>
    <t xml:space="preserve"> Bệnh viện Đa khoa Khu vực Vĩnh Linh(1132734)</t>
  </si>
  <si>
    <t>98.09%</t>
  </si>
  <si>
    <t>99.39%</t>
  </si>
  <si>
    <t>18</t>
  </si>
  <si>
    <t>19</t>
  </si>
  <si>
    <t>20</t>
  </si>
  <si>
    <t>21</t>
  </si>
  <si>
    <t>Liên minh các hợp tác xã</t>
  </si>
  <si>
    <t>22</t>
  </si>
  <si>
    <t>23</t>
  </si>
  <si>
    <t>24</t>
  </si>
  <si>
    <t>25</t>
  </si>
  <si>
    <t>Tỉnh Đoàn Thanh niên Cộng sản Hồ Chí Minh</t>
  </si>
  <si>
    <t>26</t>
  </si>
  <si>
    <t>27</t>
  </si>
  <si>
    <t>28</t>
  </si>
  <si>
    <t>29</t>
  </si>
  <si>
    <t>Liên hiệp các hội khoa học và kỹ thuật</t>
  </si>
  <si>
    <t>30</t>
  </si>
  <si>
    <t>Liên hiệp các tổ chức hữu nghị</t>
  </si>
  <si>
    <t>31</t>
  </si>
  <si>
    <t>32</t>
  </si>
  <si>
    <t>33</t>
  </si>
  <si>
    <t>Hội Chữ thập đỏ</t>
  </si>
  <si>
    <t>34</t>
  </si>
  <si>
    <t>Hội Người cao tuổi</t>
  </si>
  <si>
    <t>35</t>
  </si>
  <si>
    <t>Hội Người mù</t>
  </si>
  <si>
    <t>36</t>
  </si>
  <si>
    <t>Hội Đông y</t>
  </si>
  <si>
    <t>37</t>
  </si>
  <si>
    <t>38</t>
  </si>
  <si>
    <t>Hội Khuyến học</t>
  </si>
  <si>
    <t>39</t>
  </si>
  <si>
    <t>Các quan hệ khác của ngân sách</t>
  </si>
  <si>
    <t>40</t>
  </si>
  <si>
    <t>Các đơn vị khác</t>
  </si>
  <si>
    <t xml:space="preserve"> Hội Di sản Văn hóa tỉnh Quảng Trị(1008525)</t>
  </si>
  <si>
    <t xml:space="preserve"> Phòng Kinh tế và Hạ tầng  huyện Cam Lộ(1036848)</t>
  </si>
  <si>
    <t>36.5%</t>
  </si>
  <si>
    <t xml:space="preserve"> Cải tạo, nâng cấp Trụ sở làm việc Sở Ngoại vụ(8020593)</t>
  </si>
  <si>
    <t xml:space="preserve"> Phát triển các đô thị dọc hành lang tiểu vùng sông Mê Kông(GMS)(7411898)</t>
  </si>
  <si>
    <t xml:space="preserve"> Hạ tầng cơ bản cho phát triển toàn diện tỉnh Quảng Trị(7663996)</t>
  </si>
  <si>
    <t xml:space="preserve"> Dự án phát triển các đô thị dọc hành lang tiểu vùng sông Mê Kông(7664429)</t>
  </si>
  <si>
    <t xml:space="preserve"> Dự án lập quy hoạch tỉnh Quảng Trị thời kỳ 2021-2030, tầm nhìn đến năm 2050(7890322)</t>
  </si>
  <si>
    <t xml:space="preserve"> Đầu tư thiết bị đo lường, thử nghiệm và công nghệ sinh học (giai đoạn 2)(8023626)</t>
  </si>
  <si>
    <t xml:space="preserve"> Quy hoạch chung xây dựng đô thị Lìa, huyện Hướng Hóa giai đoạn đến năm 2035, định hướng đến năm 2040(7886844)</t>
  </si>
  <si>
    <t xml:space="preserve"> Quy hoạch chung xây dựng đô thị La Vang, huyện Hải Lăng, tỉnh Quảng Trị đến năm 2035, định hướng đến năm 2040(7886845)</t>
  </si>
  <si>
    <t xml:space="preserve"> Quy hoạch chi tiết xây dựng tỷ lệ 1/500 hai bên đường Hùng Vương kéo dài, xã Triệu Ái, huyện Triệu Phong và phía Bắc sông Vĩnh Phước, phường Đông Lương, th(7977994)</t>
  </si>
  <si>
    <t xml:space="preserve"> Điều chỉnh Quy hoạch chi tiết tỷ lệ 1/500 Khu đô thị Nam Đông Hà giai đoạn 4, thành phố Đông Hà(7977995)</t>
  </si>
  <si>
    <t xml:space="preserve"> Quy hoạch chi tiết khu vực phía Đông công viên du lịch sinh thái Cọ Dầu, phường Đông Lương, thành phố Đông Hà(7977996)</t>
  </si>
  <si>
    <t xml:space="preserve"> Quy hoạch chung xây dựng khu vực ven biển tỉnh Quảng Trị đến năm 2045(8039383)</t>
  </si>
  <si>
    <t xml:space="preserve"> Sửa chữa nền, mặt đường đoạn Km0+000 đến Km2+100 - ĐT.575a; Hạng mục: Hệ thống đèn điện chiếu sáng(7744476)</t>
  </si>
  <si>
    <t>99.96%</t>
  </si>
  <si>
    <t xml:space="preserve"> Cải tạo, sửa chữa trụ sở Sở Giáo dục và Đào tạo(7683435)</t>
  </si>
  <si>
    <t xml:space="preserve"> Quy hoạch phân khu xây dựng tỷ lệ 1/2000 Khu du lịch sinh thái thác Ba Vòi, huyện Đakrông(7927393)</t>
  </si>
  <si>
    <t xml:space="preserve"> Quy hoạch phân khu xây dựng tỷ lệ 1/2000 Khu du lịch sinh thái Brai-Tà Puồng, huyện Hướng Hóa(7930971)</t>
  </si>
  <si>
    <t xml:space="preserve"> Công viên thành phố Đông Hà(7539149)</t>
  </si>
  <si>
    <t xml:space="preserve"> Lát vỉa hè các tuyến đường còn lại khu đô thị Nam Đông Hà giai đoạn I(8017736)</t>
  </si>
  <si>
    <t xml:space="preserve"> Xây dựng chỉnh trang, hoàn thiện đồng bộ cơ sở hạ tầng khu đô thị Nam Đông Hà giai đoạn 2(8017737)</t>
  </si>
  <si>
    <t xml:space="preserve"> Mua sắm trang thiết bị nội thất Đài Phát thanh – Truyền hình tỉnh(7807391)</t>
  </si>
  <si>
    <t>Kinh tế hỗn hợp ngoài quốc doanh</t>
  </si>
  <si>
    <t xml:space="preserve"> Quỹ phát triển đất tỉnh Quảng Trị(1125627)</t>
  </si>
  <si>
    <t xml:space="preserve"> Mã số các dự án đầu tư xây dựng cơ bản đặc biệt thuộc Bộ Công an(7004692)</t>
  </si>
  <si>
    <t xml:space="preserve"> Cơ sở hạ tầng Khu công nghiệp Quán Ngang(7005353)</t>
  </si>
  <si>
    <t xml:space="preserve"> Các tuyến đường nối Cụm CNTT phía Tây Bắc thị trấn Lao Bảo với Quốc lộ 9(7034315)</t>
  </si>
  <si>
    <t xml:space="preserve"> Xây dựng CSHT cụm sản xuất công nghiệp tập trung phía Tây Bắc thị trấn Lao Bảo huyện Hướng Hóa thuộc Khu Thương mại Lao Bảo(7045180)</t>
  </si>
  <si>
    <t xml:space="preserve"> Cầu Vĩnh Phước trên tuyến đường Hùng Vương nối dài(7049663)</t>
  </si>
  <si>
    <t xml:space="preserve"> Tuyến tránh Quốc lộ 1 đoạn qua thị xã Quảng Trị(hạng mục cầu Thành Cổ và đường dẫn), tỉnh Quảng Trị(7317533)</t>
  </si>
  <si>
    <t xml:space="preserve"> Cắm mốc theo Quy hoạch chi tiết xây dựng Khu Công nghiệp Tây Bắc Hồ Xá, huyện Vĩnh Linh, tỉnh Quảng Trị, tỷ lệ 1/2000(7486555)</t>
  </si>
  <si>
    <t xml:space="preserve"> Trường Mầm non Phường 4, thành phố Đông Hà(7498516)</t>
  </si>
  <si>
    <t xml:space="preserve"> Cơ sở hạ tầng khu tái định cư Lao Bảo - Tân Thành giai đoạn 2(7506280)</t>
  </si>
  <si>
    <t xml:space="preserve"> Nâng cấp, mở rộng Trạm kiểm soát liên hợp Tân Hợp (giai đoạn 2)(7514575)</t>
  </si>
  <si>
    <t xml:space="preserve"> Hệ thống tưới tiêu phục vụ sản xuất nông nghiệp tỉnh Quảng Trị(7559915)</t>
  </si>
  <si>
    <t xml:space="preserve"> Nâng cấp hệ thống đường giao thông đô thị, thị xã Quảng Trị(7654884)</t>
  </si>
  <si>
    <t xml:space="preserve"> Nhà lưu niệm nhà thơ Chế Lan Viên(7732962)</t>
  </si>
  <si>
    <t xml:space="preserve"> Trường Tiểu học xã Triệu Sơn, huyện Triệu Phong(7736296)</t>
  </si>
  <si>
    <t xml:space="preserve"> Hoàn thiện hạ tầng kỹ thuật Quảng Trường và khuôn viên Trung tâm Văn hóa -Điện ảnh tỉnh Quảng Trị(7800267)</t>
  </si>
  <si>
    <t xml:space="preserve"> Nhà văn hóa trung tâm huyện Vĩnh Linh(7839427)</t>
  </si>
  <si>
    <t xml:space="preserve"> Hợp phần bồi thường, hỗ trợ GPMB công trình: Cơ sở hạ tầng khu dịch vụ du lịch Cửa Tùng – Cửa Việt đoạn qua huyện Vĩnh Linh(7873764)</t>
  </si>
  <si>
    <t xml:space="preserve"> Cơ sở hạ tầng khu dịch vụ du lịch Cửa Tùng - Cửa Việt thuộc dự án Hạ tầng cơ bản cho phát triển toàn diện tỉnh Quảng Trị (địa phận huyện Gio Linh)(7875661)</t>
  </si>
  <si>
    <t xml:space="preserve"> Hợp phần bồi thường, hỗ trợ GPMB thuộc Dự án Hạ tầng cơ bản cho phát triển toàn diện tỉnh Quảng Trị do UBND huyện Triệu Phong làm Chủ đầu tư(7876954)</t>
  </si>
  <si>
    <t xml:space="preserve"> Hợp phần bồi thường , hỗ trợ GPMB thuộc dự án Hạ tầng cơ bản cho phát triển toàn diện tỉnh Quảng Trị do UBND huyện Cam lộ làm chủ đầu tư(7877964)</t>
  </si>
  <si>
    <t xml:space="preserve"> Hợp phần bồi thường, hỗ trợ GPMB thuộc Dự án hạ tầng cơ bản cho phát triển toàn diện tỉnh Quảng Trị (BHG2) địa phận huyện Hải Lăng(7882230)</t>
  </si>
  <si>
    <t xml:space="preserve"> San nền và hạ tầng kỹ thuật thiết yếu tại khu vực trung tâm Cửa khẩu quốc tế La Lay - tỉnh Quảng Trị (giai đoạn 2)(7898160)</t>
  </si>
  <si>
    <t xml:space="preserve"> Quy hoạch vùng huyện Hải Lăng(7905218)</t>
  </si>
  <si>
    <t xml:space="preserve"> Hạ tầng khu tái định cư tại xã Trung Giang, huyện Gio Linh(7908465)</t>
  </si>
  <si>
    <t xml:space="preserve"> Khen thưởng huyện Cam Lộ đạt chuẩn huyện nông thôn mới ; Hạng mục: Đường giao thông liên xã thị trấn Cam Lộ - Cam Thành(7910353)</t>
  </si>
  <si>
    <t xml:space="preserve"> Đường Dương Văn An ( kéo dài ) thị trấn Cam Lộ, huyện Cam Lộ(7916739)</t>
  </si>
  <si>
    <t xml:space="preserve"> Hệ thống cấp nước tâp trung huyện đảo Cồn Cỏ giai đoạn 2(7922035)</t>
  </si>
  <si>
    <t xml:space="preserve"> Quy hoạch xây dựng vùng huyện Triệu Phong đến năm 2040, định hướng đến năm 2050(7930970)</t>
  </si>
  <si>
    <t xml:space="preserve"> Quy hoạch xây dựng vùng huyện Vĩnh Linh đến năm 2040, định hướng đến năm 2050(7930972)</t>
  </si>
  <si>
    <t xml:space="preserve"> Điều chỉnh quy hoạch phân khu tỷ lệ 1/2000 Phường 3, thành phố Đông Hà, tỉnh Quảng Trị(7932855)</t>
  </si>
  <si>
    <t xml:space="preserve"> Điều chỉnh quy hoạch phân khu tỷ lệ 1/2000 phường Đông Lễ, thành phố Đông Hà, tỉnh Quảng Trị(7932856)</t>
  </si>
  <si>
    <t xml:space="preserve"> Điều chỉnh quy hoạch phân khu tỷ lệ 1/2000 phường Đông Lương, thành phố Đông Hà, tỉnh Quảng Trị(7932857)</t>
  </si>
  <si>
    <t xml:space="preserve"> Điều chỉnh quy hoạch phân khu tỷ lệ 1/2000 phường Đông Giang, thành phố Đông Hà, tỉnh Quảng Trị(7932858)</t>
  </si>
  <si>
    <t xml:space="preserve"> Điều chỉnh quy hoạch phân khu tỷ lệ 1/2000 phường Đông Thanh, thành phố Đông Hà, tỉnh Quảng Trị(7932859)</t>
  </si>
  <si>
    <t xml:space="preserve"> Chợ Cam Nghĩa , huyện Cam Lộ(7933584)</t>
  </si>
  <si>
    <t xml:space="preserve"> Nâng cấp một số tuyến đường nội thị, hệ thống điện chiếu sáng khu vực trung tâm huyện Đakrông (giai đoạn 2)(7934251)</t>
  </si>
  <si>
    <t xml:space="preserve"> Cơ sở hạ tầng Cụm công nghiệp Hải Chánh(7939178)</t>
  </si>
  <si>
    <t xml:space="preserve"> Điều chỉnh, bổ sung quy hoạch chung xây dựng thị trấn Krông Klang, huyện Đakrông đến năm 2035, định hướng đến năm 2040(7948772)</t>
  </si>
  <si>
    <t xml:space="preserve"> Nâng cấp, mở rộng chợ Tân Long, huyện Hướng Hóa(7950712)</t>
  </si>
  <si>
    <t xml:space="preserve"> Điều chỉnh mở rộng bãi tăm Cửa Việt thuộc khu dịch vụ - du lịch Cửa Việt(7950714)</t>
  </si>
  <si>
    <t xml:space="preserve"> Vỉa hè và hệ thống thoát nước đường Lê Lợi, thành phố Đông Hà(7953622)</t>
  </si>
  <si>
    <t xml:space="preserve"> Trường mầm non Gio Mai; Hạng mục: Nhà 2 tầng 6 phòng học(7968196)</t>
  </si>
  <si>
    <t xml:space="preserve"> Trường THTHCS Cam Nghĩa, huyện Cam Lộ; Hạng mục: Nhà 02 tầng 04 phòng học(7971457)</t>
  </si>
  <si>
    <t xml:space="preserve"> Hệ thống tuyến ống dẫn nước thải Cụm công nghiệp Diên Sanh(7982560)</t>
  </si>
  <si>
    <t xml:space="preserve"> Quy hoạch chung xây dựng đô thị khu vực Tà Rụt, huyện Đakrông đến năm 2035 định hướng đến năm 2040(7984221)</t>
  </si>
  <si>
    <t xml:space="preserve"> Hệ thống xử lý nước thải Cụm công nghiệp Cam Thành, huyện Cam Lộ(7990497)</t>
  </si>
  <si>
    <t xml:space="preserve"> Trường THCS thị trấn Krông Klang; Hạng mục: Nhà 02 tầng 06 phòng học bộ môn(7990613)</t>
  </si>
  <si>
    <t xml:space="preserve"> Trường PTDTBT THCS Tà Long; Hạng mục: Nhà hiệu bộ.(7990627)</t>
  </si>
  <si>
    <t xml:space="preserve"> Trường TH  THCS Hải Phú; Hạng mục: Phòng chức năng và nhà đa năng(7995138)</t>
  </si>
  <si>
    <t xml:space="preserve"> Trường PTDT bán trú THTHCS Ba Tầng; Hạng mục: Nhà học bộ môn và chức năng(7995843)</t>
  </si>
  <si>
    <t xml:space="preserve"> Trường PTDT bán trú THTHCS Hướng Lập; Hạng mục: Nhà học bộ môn và chức năng(7995845)</t>
  </si>
  <si>
    <t xml:space="preserve"> Trung tâm bồi dưỡng chính trị huyện Cam Lộ(8002013)</t>
  </si>
  <si>
    <t xml:space="preserve"> Đường vào khu di tích Quốc gia Thành Tân Sở(8002015)</t>
  </si>
  <si>
    <t xml:space="preserve"> Sân thể dục và các hạng mục phụ trợ Trường Tiểu học Nguyễn Bá Ngọc(8007103)</t>
  </si>
  <si>
    <t xml:space="preserve"> Xây mới 12 phòng học Trường THCS Nguyễn Huệ(8007104)</t>
  </si>
  <si>
    <t xml:space="preserve"> Nhà công vụ huyện Đakrông(8009136)</t>
  </si>
  <si>
    <t xml:space="preserve"> Trạm Y tế xã Vĩnh Khê, huyện Vĩnh Linh; Hạng mục: Xây mới nhà 2 tầng và các hạng mục phụ trợ(8011795)</t>
  </si>
  <si>
    <t xml:space="preserve"> Trường PTDT bán trú Tiểu học Vĩnh Hà, hạng mục: Nhà 2 tầng 6 phòng học bộ môn và các hạng mục phụ trợ(8011796)</t>
  </si>
  <si>
    <t xml:space="preserve"> Trường THCS Lê Quý Đôn, huyện Vĩnh Linh; Hạng mục: Nhà 02 tầng 6 phòng học bộ môn(8011797)</t>
  </si>
  <si>
    <t xml:space="preserve"> Nhà làm việc công an quân sự xã Vĩnh Thái, huyện Vĩnh Linh(8011799)</t>
  </si>
  <si>
    <t xml:space="preserve"> Hệ thống xử lý nước thải cụm công nghiệp Hải Lệ (giai đoạn 1)(8013048)</t>
  </si>
  <si>
    <t xml:space="preserve"> Trường TH  THCS Gio Quang; Hạng mục: Xây mới 01 phòng học, 01 phòng học tiếng Anh(8013422)</t>
  </si>
  <si>
    <t xml:space="preserve"> Đầu tư, nâng cấp các trạm y tế trên địa bàn thành phố Đông Hà (Phường 2, phường 4, phường Đông Giang, phường Đông Thanh)(8014244)</t>
  </si>
  <si>
    <t xml:space="preserve"> Trường tiều học và THCS Lương Thế Vinh. Hạng mục: Nhà học bộ môn và nhà đa chức năng(8014251)</t>
  </si>
  <si>
    <t xml:space="preserve"> Trường Trung học cơ sở Thành Cổ. Hạng mục: Phòng Tổ chuyên môn và hội trường(8014252)</t>
  </si>
  <si>
    <t xml:space="preserve"> Nâng cấp các trạm y tế xã trên địa bàn huyện Hải Lăng (xã Hải Chánh, Hải Trường, Hải Quy, Hải Quế, Hải Định(8017738)</t>
  </si>
  <si>
    <t>60%</t>
  </si>
  <si>
    <t xml:space="preserve"> Điều chỉnh Quy hoạch chung thị xã Quảng Trị, tỉnh Quảng Trị đến năm 2045(8018927)</t>
  </si>
  <si>
    <t xml:space="preserve"> Quy hoạch xây dựng vùng huyện Gio Linh đến năm 2040, tầm nhìn đến năm 2050(8021344)</t>
  </si>
  <si>
    <t xml:space="preserve"> Đường liên thôn kết nối Quốc lộ 9, xã Tân Liên, huyện Hướng Hóa(8039640)</t>
  </si>
  <si>
    <t xml:space="preserve"> Xây dựng CSHT khu tái định cư phường 3, thành phố Đông Hà (giai đoạn 2)(8040684)</t>
  </si>
  <si>
    <t xml:space="preserve"> Điều chỉnh cục bộ Quy hoạch vùng huyện Cam Lộ đến năm 2040, định hướng đến năm 2050(8052377)</t>
  </si>
  <si>
    <t xml:space="preserve"> Điều chỉnh quy hoạch chung thị trấn Cam Lộ, huyện Cam Lộ đến năm 2035(8052380)</t>
  </si>
  <si>
    <t xml:space="preserve"> Tuyến đường kết nối Cảng hàng không Quảng Trị với Quốc lộ 1(8053859)</t>
  </si>
  <si>
    <t xml:space="preserve"> Nâng cấp đường Lê Hồng Phong thị trấn Hồ Xá, hạng mục: Nâng cấp nền mặt đường, hệ thống thoát nước, vỉa hè(8055427)</t>
  </si>
  <si>
    <t xml:space="preserve"> Nâng cấp đường nội thị Khóm 2, thị trấn Bến Quan; Hạng mục: Nâng cấp nền mặt đường, hệ thống thoát nước, vỉa hè(8055435)</t>
  </si>
  <si>
    <t xml:space="preserve"> Tuyến RD-01 và RD-04 Khu công nghiệp Quán Ngang(8057257)</t>
  </si>
  <si>
    <t xml:space="preserve"> Một số hạng mục thiết yếu thuộc Khu Tái định cư Lao Bảo - Tân Thành(8057258)</t>
  </si>
  <si>
    <t xml:space="preserve"> Sửa chữa, nâng cấp Đài tưởng niệm anh hùng đảo Cồn Cỏ(8059402)</t>
  </si>
  <si>
    <t xml:space="preserve"> Quy hoạch chi tiết Khu du lịch sinh thái thác Ồ Ồ huyện Hướng Hóa, tỉnh Quảng Trị(8066380)</t>
  </si>
  <si>
    <t xml:space="preserve"> Tuyến đường kết nối từ cổng phụ Trung tâm hành hương Đức mẹ La Vang đến cụm công nghiệp Hải Lệ và bãi đỗ xe số 01 theo quy hoạch đô thị La Vang(8071898)</t>
  </si>
  <si>
    <t>số 48, 50, 51, 52, 53, 54, 58, 59, 61).</t>
  </si>
  <si>
    <t>1.74%</t>
  </si>
  <si>
    <t>99.04%</t>
  </si>
  <si>
    <t>15.42%</t>
  </si>
  <si>
    <t>84.92%</t>
  </si>
  <si>
    <t>99.23%</t>
  </si>
  <si>
    <t>71.41%</t>
  </si>
  <si>
    <t>.45%</t>
  </si>
  <si>
    <t>99.27%</t>
  </si>
  <si>
    <t>89.56%</t>
  </si>
  <si>
    <t>87.87%</t>
  </si>
  <si>
    <t>80.12%</t>
  </si>
  <si>
    <t>93.65%</t>
  </si>
  <si>
    <t>93.07%</t>
  </si>
  <si>
    <t>.41%</t>
  </si>
  <si>
    <t>81.04%</t>
  </si>
  <si>
    <t>91.96%</t>
  </si>
  <si>
    <t>66.59%</t>
  </si>
  <si>
    <t>66.67%</t>
  </si>
  <si>
    <t>98.35%</t>
  </si>
  <si>
    <t>41.12%</t>
  </si>
  <si>
    <t>43.49%</t>
  </si>
  <si>
    <t>40.97%</t>
  </si>
  <si>
    <t>69.69%</t>
  </si>
  <si>
    <t>83.82%</t>
  </si>
  <si>
    <t>97.79%</t>
  </si>
  <si>
    <t>99.6%</t>
  </si>
  <si>
    <t>87.55%</t>
  </si>
  <si>
    <t>81.8%</t>
  </si>
  <si>
    <t>87.6%</t>
  </si>
  <si>
    <t>99.08%</t>
  </si>
  <si>
    <t>58.38%</t>
  </si>
  <si>
    <t>77.91%</t>
  </si>
  <si>
    <t>99.33%</t>
  </si>
  <si>
    <t>97.69%</t>
  </si>
  <si>
    <t>98.26%</t>
  </si>
  <si>
    <t>97.16%</t>
  </si>
  <si>
    <t>Tổng chi không bao gồm CTMT QG, CT lâm nghiệp</t>
  </si>
  <si>
    <t xml:space="preserve">Thu tịch thu </t>
  </si>
  <si>
    <t>Thu hồi vốn, thu cổ tức</t>
  </si>
  <si>
    <t xml:space="preserve">Lợi nhuận được chia của Nhà nước và lợi nhuận sau thuế còn lại sau khi trích lập các quỹ của doanh nghiệp nhà nước </t>
  </si>
  <si>
    <t xml:space="preserve">Chênh lệch thu chi Ngân hàng Nhà nước </t>
  </si>
  <si>
    <t xml:space="preserve">Giảm trừ trong năm </t>
  </si>
  <si>
    <t>THư viện tỉnh</t>
  </si>
  <si>
    <t>BCH BĐBP</t>
  </si>
  <si>
    <t>Trường Trung cấp nghề GTVT</t>
  </si>
  <si>
    <t>DT chưa phân bổ theo QĐ 3333</t>
  </si>
  <si>
    <t xml:space="preserve"> Bảo hiểm Xã hội Tỉnh Quảng Trị</t>
  </si>
  <si>
    <t xml:space="preserve">KP hỗ trợ sử dụng sản phẩm, dịch vụ công ích thủy lợi </t>
  </si>
  <si>
    <t xml:space="preserve">Bộ Chỉ huy Quân sự tỉnh </t>
  </si>
  <si>
    <t xml:space="preserve"> Công an Tỉnh</t>
  </si>
  <si>
    <r>
      <t xml:space="preserve">Giảm trừ trong năm </t>
    </r>
    <r>
      <rPr>
        <sz val="12"/>
        <rFont val="Times New Roman"/>
        <family val="1"/>
      </rPr>
      <t>(QĐ 783, 2624, 3302,3363)</t>
    </r>
  </si>
  <si>
    <r>
      <t xml:space="preserve">Chi đầu tư phát triển </t>
    </r>
    <r>
      <rPr>
        <sz val="14"/>
        <rFont val="Times New Roman"/>
        <family val="1"/>
      </rPr>
      <t>(Không kể chương trình MTQG)</t>
    </r>
  </si>
  <si>
    <r>
      <t xml:space="preserve">Chi thường xuyên </t>
    </r>
    <r>
      <rPr>
        <sz val="14"/>
        <rFont val="Times New Roman"/>
        <family val="1"/>
      </rPr>
      <t>(Không kể chương trình MTQG)</t>
    </r>
  </si>
  <si>
    <t>Chi bổ sung có mục tiêu trong năm (cột để ktra)</t>
  </si>
  <si>
    <t xml:space="preserve">  (cột để ktra)Vốn đầu tư để thực hiện các CTMT quốc gia</t>
  </si>
  <si>
    <t>12=13+14</t>
  </si>
  <si>
    <t>15=16+17</t>
  </si>
  <si>
    <t>18=19+20</t>
  </si>
  <si>
    <t>21=22+23+24</t>
  </si>
  <si>
    <t>Chi bồi thường giải phóng mặt bằng nhà đầu tư tự nguyện ứng trước</t>
  </si>
  <si>
    <t>Chi thực hiện chính sách ưu đãi đầu tư theo Nghị quyết số 105/2021/NQ-HĐND ngày 30/8/2021 của HĐND tỉnh</t>
  </si>
  <si>
    <t>(Kèm theo Báo cáo số:             /BC-UBND ngày      tháng     năm 2024 của Ủy ban nhân dân tỉnh Quảng Trị)</t>
  </si>
  <si>
    <t>Trung tâm Quan trắc Tài nguyên và môi trường tỉnh Quảng Trị</t>
  </si>
  <si>
    <t xml:space="preserve">Bổ sung từ dự phòng </t>
  </si>
  <si>
    <t xml:space="preserve">Bổ sung từ chi khác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</si>
</sst>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_);\(&quot;$&quot;#,##0\)"/>
    <numFmt numFmtId="169" formatCode="_(* #,##0_);_(* \(#,##0\);_(* &quot;-&quot;_);_(@_)"/>
    <numFmt numFmtId="171" formatCode="_(* #,##0.00_);_(* \(#,##0.00\);_(* &quot;-&quot;??_);_(@_)"/>
    <numFmt numFmtId="172" formatCode="_-* #,##0\ _₫_-;\-* #,##0\ _₫_-;_-* &quot;-&quot;\ _₫_-;_-@_-"/>
    <numFmt numFmtId="173" formatCode="_-* #,##0.00\ _₫_-;\-* #,##0.00\ _₫_-;_-* &quot;-&quot;??\ _₫_-;_-@_-"/>
    <numFmt numFmtId="174" formatCode="#,##0.000000"/>
    <numFmt numFmtId="175" formatCode="#,##0.000"/>
    <numFmt numFmtId="180" formatCode="#,##0.00000"/>
    <numFmt numFmtId="181" formatCode="_-* #,##0\ _₫_-;\-* #,##0\ _₫_-;_-* &quot;-&quot;??\ _₫_-;_-@_-"/>
    <numFmt numFmtId="182" formatCode="_-* #,##0.000\ _₫_-;\-* #,##0.000\ _₫_-;_-* &quot;-&quot;??\ _₫_-;_-@_-"/>
    <numFmt numFmtId="183" formatCode="0###"/>
    <numFmt numFmtId="184" formatCode="_(* #,##0_);_(* \(#,##0\);_(* &quot;-&quot;??_);_(@_)"/>
    <numFmt numFmtId="185" formatCode="0.000"/>
    <numFmt numFmtId="186" formatCode="_-* #,##0.0\ _₫_-;\-* #,##0.0\ _₫_-;_-* &quot;-&quot;??\ _₫_-;_-@_-"/>
    <numFmt numFmtId="188" formatCode="#\ ###\ ###"/>
    <numFmt numFmtId="189" formatCode="#\ ###\ ###\ ###"/>
    <numFmt numFmtId="190" formatCode="#\ ###\ ###\ ###\ ###"/>
    <numFmt numFmtId="195" formatCode="_-* #,##0.00_M_A_D_-;\-* #,##0.00_M_A_D_-;_-* &quot;-&quot;??_M_A_D_-;_-@_-"/>
    <numFmt numFmtId="217" formatCode="#,###.00"/>
  </numFmts>
  <fonts count="201">
    <font>
      <sz val="11"/>
      <color theme="1"/>
      <name val="Arial"/>
      <family val="2"/>
      <charset val="163"/>
      <scheme val="minor"/>
    </font>
    <font>
      <i/>
      <sz val="10"/>
      <color indexed="8"/>
      <name val="Times New Roman"/>
      <family val="1"/>
      <charset val="163"/>
    </font>
    <font>
      <b/>
      <sz val="8"/>
      <name val="Times New Roman"/>
      <family val="1"/>
    </font>
    <font>
      <sz val="12"/>
      <name val="Times New Roman"/>
      <family val="1"/>
    </font>
    <font>
      <sz val="10"/>
      <name val="Times New Roman"/>
      <family val="1"/>
    </font>
    <font>
      <b/>
      <sz val="10"/>
      <name val="Times New Roman"/>
      <family val="1"/>
    </font>
    <font>
      <sz val="12"/>
      <name val=".VnTime"/>
      <family val="2"/>
    </font>
    <font>
      <b/>
      <sz val="11"/>
      <name val="Times New Roman"/>
      <family val="1"/>
    </font>
    <font>
      <sz val="8"/>
      <name val="Times New Roman"/>
      <family val="1"/>
    </font>
    <font>
      <sz val="11"/>
      <name val="Times New Roman"/>
      <family val="1"/>
    </font>
    <font>
      <b/>
      <sz val="12"/>
      <name val="Times New Roman"/>
      <family val="1"/>
    </font>
    <font>
      <b/>
      <i/>
      <sz val="12"/>
      <name val="Times New Roman"/>
      <family val="1"/>
    </font>
    <font>
      <i/>
      <sz val="12"/>
      <name val="Times New Roman"/>
      <family val="1"/>
    </font>
    <font>
      <b/>
      <sz val="9"/>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
      <sz val="11"/>
      <name val=".VnArial Narrow"/>
      <family val="2"/>
    </font>
    <font>
      <sz val="10"/>
      <name val="Arial"/>
      <family val="2"/>
    </font>
    <font>
      <sz val="12"/>
      <name val="Times New Roman"/>
      <family val="1"/>
      <charset val="163"/>
    </font>
    <font>
      <b/>
      <i/>
      <sz val="8"/>
      <name val="Times New Roman"/>
      <family val="1"/>
    </font>
    <font>
      <i/>
      <sz val="8"/>
      <name val="Times New Roman"/>
      <family val="1"/>
    </font>
    <font>
      <sz val="14"/>
      <name val="Times New Roman"/>
      <family val="1"/>
    </font>
    <font>
      <sz val="11"/>
      <color indexed="8"/>
      <name val="Calibri"/>
      <family val="2"/>
    </font>
    <font>
      <b/>
      <sz val="14"/>
      <name val="Times New Roman"/>
      <family val="1"/>
    </font>
    <font>
      <sz val="12"/>
      <color indexed="10"/>
      <name val="Times New Roman"/>
      <family val="1"/>
    </font>
    <font>
      <b/>
      <sz val="14"/>
      <name val=".VnTime"/>
      <family val="2"/>
    </font>
    <font>
      <b/>
      <sz val="12"/>
      <name val=".VnTimeH"/>
      <family val="2"/>
    </font>
    <font>
      <b/>
      <sz val="16"/>
      <name val=".VnTimeH"/>
      <family val="2"/>
    </font>
    <font>
      <b/>
      <sz val="15"/>
      <name val="Times New Roman"/>
      <family val="1"/>
    </font>
    <font>
      <sz val="10"/>
      <name val="Arial"/>
      <family val="2"/>
      <charset val="163"/>
    </font>
    <font>
      <b/>
      <sz val="12"/>
      <color indexed="10"/>
      <name val="Times New Roman"/>
      <family val="1"/>
    </font>
    <font>
      <sz val="11"/>
      <color indexed="8"/>
      <name val="Times New Roman"/>
      <family val="1"/>
    </font>
    <font>
      <sz val="12"/>
      <color indexed="12"/>
      <name val="Times New Roman"/>
      <family val="1"/>
    </font>
    <font>
      <b/>
      <sz val="12"/>
      <color indexed="12"/>
      <name val="Times New Roman"/>
      <family val="1"/>
    </font>
    <font>
      <sz val="10"/>
      <color indexed="8"/>
      <name val="Times New Roman"/>
      <family val="1"/>
    </font>
    <font>
      <sz val="10"/>
      <name val="Times New Roman"/>
      <family val="1"/>
      <charset val="163"/>
    </font>
    <font>
      <sz val="12"/>
      <color indexed="8"/>
      <name val="Times New Roman"/>
      <family val="1"/>
    </font>
    <font>
      <sz val="14"/>
      <name val=".VnTime"/>
      <family val="2"/>
    </font>
    <font>
      <sz val="12"/>
      <name val=".VnArial Narrow"/>
      <family val="2"/>
    </font>
    <font>
      <sz val="13"/>
      <name val="Times New Roman"/>
      <family val="1"/>
    </font>
    <font>
      <i/>
      <sz val="10"/>
      <name val="Times New Roman"/>
      <family val="1"/>
    </font>
    <font>
      <b/>
      <sz val="9"/>
      <color indexed="81"/>
      <name val="Tahoma"/>
      <family val="2"/>
      <charset val="163"/>
    </font>
    <font>
      <sz val="9"/>
      <color indexed="81"/>
      <name val="Tahoma"/>
      <family val="2"/>
      <charset val="163"/>
    </font>
    <font>
      <sz val="11"/>
      <color indexed="8"/>
      <name val="Calibri"/>
      <family val="2"/>
      <charset val="163"/>
    </font>
    <font>
      <b/>
      <sz val="12"/>
      <name val="Arial"/>
      <family val="2"/>
    </font>
    <font>
      <sz val="12"/>
      <name val=".VnArial"/>
      <family val="2"/>
    </font>
    <font>
      <b/>
      <i/>
      <sz val="10"/>
      <name val="Times New Roman"/>
      <family val="1"/>
    </font>
    <font>
      <b/>
      <sz val="16"/>
      <name val="Times New Roman"/>
      <family val="1"/>
    </font>
    <font>
      <sz val="9"/>
      <name val="Times New Roman"/>
      <family val="1"/>
    </font>
    <font>
      <i/>
      <sz val="16"/>
      <name val="Times New Roman"/>
      <family val="1"/>
    </font>
    <font>
      <b/>
      <sz val="13"/>
      <name val="Times New Roman"/>
      <family val="1"/>
    </font>
    <font>
      <i/>
      <sz val="13"/>
      <name val="Times New Roman"/>
      <family val="1"/>
    </font>
    <font>
      <b/>
      <i/>
      <sz val="13"/>
      <name val="Times New Roman"/>
      <family val="1"/>
    </font>
    <font>
      <i/>
      <sz val="11"/>
      <name val="Times New Roman"/>
      <family val="1"/>
    </font>
    <font>
      <i/>
      <sz val="12"/>
      <color indexed="8"/>
      <name val="Times New Roman"/>
      <family val="1"/>
    </font>
    <font>
      <b/>
      <sz val="12"/>
      <color indexed="8"/>
      <name val="Times New Roman"/>
      <family val="1"/>
    </font>
    <font>
      <b/>
      <i/>
      <sz val="12"/>
      <color indexed="8"/>
      <name val="Times New Roman"/>
      <family val="1"/>
    </font>
    <font>
      <b/>
      <sz val="12.5"/>
      <color indexed="8"/>
      <name val="Times New Roman"/>
      <family val="1"/>
    </font>
    <font>
      <i/>
      <sz val="18"/>
      <name val="Times New Roman"/>
      <family val="1"/>
    </font>
    <font>
      <b/>
      <sz val="18"/>
      <name val="Times New Roman"/>
      <family val="1"/>
    </font>
    <font>
      <b/>
      <sz val="12"/>
      <name val=".VnTime"/>
      <family val="2"/>
    </font>
    <font>
      <i/>
      <sz val="12"/>
      <name val=".VnTime"/>
      <family val="2"/>
    </font>
    <font>
      <i/>
      <sz val="14"/>
      <name val="Times New Roman"/>
      <family val="1"/>
    </font>
    <font>
      <b/>
      <i/>
      <sz val="14"/>
      <name val="Times New Roman"/>
      <family val="1"/>
    </font>
    <font>
      <b/>
      <i/>
      <sz val="16"/>
      <name val="Times New Roman"/>
      <family val="1"/>
    </font>
    <font>
      <sz val="16"/>
      <name val="Times New Roman"/>
      <family val="1"/>
    </font>
    <font>
      <sz val="15"/>
      <name val="Times New Roman"/>
      <family val="1"/>
    </font>
    <font>
      <b/>
      <sz val="20"/>
      <name val="Times New Roman"/>
      <family val="1"/>
    </font>
    <font>
      <sz val="20"/>
      <name val="Times New Roman"/>
      <family val="1"/>
    </font>
    <font>
      <i/>
      <sz val="20"/>
      <name val="Times New Roman"/>
      <family val="1"/>
    </font>
    <font>
      <sz val="18"/>
      <name val="Times New Roman"/>
      <family val="1"/>
    </font>
    <font>
      <sz val="11"/>
      <color theme="1"/>
      <name val="Arial"/>
      <family val="2"/>
      <charset val="163"/>
      <scheme val="minor"/>
    </font>
    <font>
      <sz val="11"/>
      <color theme="1"/>
      <name val="Arial"/>
      <family val="2"/>
      <scheme val="minor"/>
    </font>
    <font>
      <sz val="11"/>
      <color theme="1"/>
      <name val="Arial"/>
      <family val="2"/>
      <charset val="1"/>
      <scheme val="minor"/>
    </font>
    <font>
      <sz val="11"/>
      <color theme="0"/>
      <name val="Arial"/>
      <family val="2"/>
      <scheme val="minor"/>
    </font>
    <font>
      <sz val="11"/>
      <color theme="0"/>
      <name val="Arial"/>
      <family val="2"/>
      <charset val="1"/>
      <scheme val="minor"/>
    </font>
    <font>
      <sz val="11"/>
      <color rgb="FF9C0006"/>
      <name val="Arial"/>
      <family val="2"/>
      <scheme val="minor"/>
    </font>
    <font>
      <sz val="11"/>
      <color rgb="FF9C0006"/>
      <name val="Arial"/>
      <family val="2"/>
      <charset val="1"/>
      <scheme val="minor"/>
    </font>
    <font>
      <b/>
      <sz val="11"/>
      <color rgb="FFFA7D00"/>
      <name val="Arial"/>
      <family val="2"/>
      <scheme val="minor"/>
    </font>
    <font>
      <b/>
      <sz val="11"/>
      <color rgb="FFFA7D00"/>
      <name val="Arial"/>
      <family val="2"/>
      <charset val="1"/>
      <scheme val="minor"/>
    </font>
    <font>
      <b/>
      <sz val="11"/>
      <color theme="0"/>
      <name val="Arial"/>
      <family val="2"/>
      <scheme val="minor"/>
    </font>
    <font>
      <b/>
      <sz val="11"/>
      <color theme="0"/>
      <name val="Arial"/>
      <family val="2"/>
      <charset val="1"/>
      <scheme val="minor"/>
    </font>
    <font>
      <i/>
      <sz val="11"/>
      <color rgb="FF7F7F7F"/>
      <name val="Arial"/>
      <family val="2"/>
      <scheme val="minor"/>
    </font>
    <font>
      <i/>
      <sz val="11"/>
      <color rgb="FF7F7F7F"/>
      <name val="Arial"/>
      <family val="2"/>
      <charset val="1"/>
      <scheme val="minor"/>
    </font>
    <font>
      <sz val="11"/>
      <color rgb="FF006100"/>
      <name val="Arial"/>
      <family val="2"/>
      <scheme val="minor"/>
    </font>
    <font>
      <sz val="11"/>
      <color rgb="FF006100"/>
      <name val="Arial"/>
      <family val="2"/>
      <charset val="1"/>
      <scheme val="minor"/>
    </font>
    <font>
      <b/>
      <sz val="15"/>
      <color theme="3"/>
      <name val="Arial"/>
      <family val="2"/>
      <scheme val="minor"/>
    </font>
    <font>
      <b/>
      <sz val="15"/>
      <color theme="3"/>
      <name val="Arial"/>
      <family val="2"/>
      <charset val="1"/>
      <scheme val="minor"/>
    </font>
    <font>
      <b/>
      <sz val="13"/>
      <color theme="3"/>
      <name val="Arial"/>
      <family val="2"/>
      <scheme val="minor"/>
    </font>
    <font>
      <b/>
      <sz val="13"/>
      <color theme="3"/>
      <name val="Arial"/>
      <family val="2"/>
      <charset val="1"/>
      <scheme val="minor"/>
    </font>
    <font>
      <b/>
      <sz val="11"/>
      <color theme="3"/>
      <name val="Arial"/>
      <family val="2"/>
      <scheme val="minor"/>
    </font>
    <font>
      <b/>
      <sz val="11"/>
      <color theme="3"/>
      <name val="Arial"/>
      <family val="2"/>
      <charset val="1"/>
      <scheme val="minor"/>
    </font>
    <font>
      <sz val="11"/>
      <color rgb="FF3F3F76"/>
      <name val="Arial"/>
      <family val="2"/>
      <scheme val="minor"/>
    </font>
    <font>
      <sz val="11"/>
      <color rgb="FF3F3F76"/>
      <name val="Arial"/>
      <family val="2"/>
      <charset val="1"/>
      <scheme val="minor"/>
    </font>
    <font>
      <sz val="11"/>
      <color rgb="FFFA7D00"/>
      <name val="Arial"/>
      <family val="2"/>
      <scheme val="minor"/>
    </font>
    <font>
      <sz val="11"/>
      <color rgb="FFFA7D00"/>
      <name val="Arial"/>
      <family val="2"/>
      <charset val="1"/>
      <scheme val="minor"/>
    </font>
    <font>
      <sz val="11"/>
      <color rgb="FF9C6500"/>
      <name val="Arial"/>
      <family val="2"/>
      <scheme val="minor"/>
    </font>
    <font>
      <sz val="11"/>
      <color rgb="FF9C6500"/>
      <name val="Arial"/>
      <family val="2"/>
      <charset val="1"/>
      <scheme val="minor"/>
    </font>
    <font>
      <sz val="12"/>
      <color theme="1"/>
      <name val="Times New Roman"/>
      <family val="2"/>
      <charset val="163"/>
    </font>
    <font>
      <sz val="14"/>
      <color theme="1"/>
      <name val="Times New Roman"/>
      <family val="2"/>
    </font>
    <font>
      <b/>
      <sz val="11"/>
      <color rgb="FF3F3F3F"/>
      <name val="Arial"/>
      <family val="2"/>
      <scheme val="minor"/>
    </font>
    <font>
      <b/>
      <sz val="11"/>
      <color rgb="FF3F3F3F"/>
      <name val="Arial"/>
      <family val="2"/>
      <charset val="1"/>
      <scheme val="minor"/>
    </font>
    <font>
      <b/>
      <sz val="18"/>
      <color theme="3"/>
      <name val="Times New Roman"/>
      <family val="2"/>
      <scheme val="major"/>
    </font>
    <font>
      <b/>
      <sz val="18"/>
      <color theme="3"/>
      <name val="Times New Roman"/>
      <family val="2"/>
      <charset val="1"/>
      <scheme val="major"/>
    </font>
    <font>
      <b/>
      <sz val="11"/>
      <color theme="1"/>
      <name val="Arial"/>
      <family val="2"/>
      <scheme val="minor"/>
    </font>
    <font>
      <b/>
      <sz val="11"/>
      <color theme="1"/>
      <name val="Arial"/>
      <family val="2"/>
      <charset val="1"/>
      <scheme val="minor"/>
    </font>
    <font>
      <sz val="11"/>
      <color rgb="FFFF0000"/>
      <name val="Arial"/>
      <family val="2"/>
      <scheme val="minor"/>
    </font>
    <font>
      <sz val="11"/>
      <color rgb="FFFF0000"/>
      <name val="Arial"/>
      <family val="2"/>
      <charset val="1"/>
      <scheme val="minor"/>
    </font>
    <font>
      <sz val="11"/>
      <color theme="1"/>
      <name val="Times New Roman"/>
      <family val="1"/>
      <charset val="163"/>
      <scheme val="major"/>
    </font>
    <font>
      <b/>
      <sz val="10"/>
      <color rgb="FF000000"/>
      <name val="Times New Roman"/>
      <family val="1"/>
      <charset val="163"/>
      <scheme val="major"/>
    </font>
    <font>
      <i/>
      <sz val="10"/>
      <color rgb="FF000000"/>
      <name val="Times New Roman"/>
      <family val="1"/>
      <charset val="163"/>
      <scheme val="major"/>
    </font>
    <font>
      <b/>
      <i/>
      <sz val="10"/>
      <color rgb="FF000000"/>
      <name val="Times New Roman"/>
      <family val="1"/>
      <charset val="163"/>
      <scheme val="major"/>
    </font>
    <font>
      <sz val="10"/>
      <color rgb="FF000000"/>
      <name val="Times New Roman"/>
      <family val="1"/>
      <charset val="163"/>
      <scheme val="major"/>
    </font>
    <font>
      <i/>
      <sz val="10"/>
      <color rgb="FF000000"/>
      <name val="Times New Roman"/>
      <family val="1"/>
      <scheme val="major"/>
    </font>
    <font>
      <sz val="8"/>
      <color theme="1"/>
      <name val="Times New Roman"/>
      <family val="1"/>
    </font>
    <font>
      <b/>
      <sz val="8"/>
      <color rgb="FF000000"/>
      <name val="Times New Roman"/>
      <family val="1"/>
    </font>
    <font>
      <sz val="8"/>
      <color rgb="FF000000"/>
      <name val="Times New Roman"/>
      <family val="1"/>
    </font>
    <font>
      <b/>
      <sz val="8"/>
      <color theme="1"/>
      <name val="Times New Roman"/>
      <family val="1"/>
    </font>
    <font>
      <b/>
      <i/>
      <sz val="8"/>
      <color rgb="FF000000"/>
      <name val="Times New Roman"/>
      <family val="1"/>
    </font>
    <font>
      <i/>
      <sz val="8"/>
      <color theme="1"/>
      <name val="Times New Roman"/>
      <family val="1"/>
    </font>
    <font>
      <b/>
      <i/>
      <sz val="8"/>
      <color theme="1"/>
      <name val="Times New Roman"/>
      <family val="1"/>
    </font>
    <font>
      <i/>
      <sz val="8"/>
      <color rgb="FF000000"/>
      <name val="Times New Roman"/>
      <family val="1"/>
    </font>
    <font>
      <sz val="10"/>
      <color theme="1"/>
      <name val="Times New Roman"/>
      <family val="1"/>
      <scheme val="major"/>
    </font>
    <font>
      <b/>
      <sz val="12"/>
      <color theme="1"/>
      <name val="Times New Roman"/>
      <family val="1"/>
      <scheme val="major"/>
    </font>
    <font>
      <b/>
      <sz val="12"/>
      <color rgb="FFFFC000"/>
      <name val="Times New Roman"/>
      <family val="1"/>
      <scheme val="major"/>
    </font>
    <font>
      <sz val="12"/>
      <color theme="1"/>
      <name val="Times New Roman"/>
      <family val="1"/>
      <scheme val="major"/>
    </font>
    <font>
      <b/>
      <sz val="10"/>
      <color rgb="FFFFC000"/>
      <name val="Times New Roman"/>
      <family val="1"/>
      <scheme val="major"/>
    </font>
    <font>
      <i/>
      <sz val="10"/>
      <color theme="1"/>
      <name val="Times New Roman"/>
      <family val="1"/>
      <scheme val="major"/>
    </font>
    <font>
      <b/>
      <sz val="10"/>
      <color rgb="FFFF0000"/>
      <name val="Times New Roman"/>
      <family val="1"/>
      <scheme val="major"/>
    </font>
    <font>
      <b/>
      <sz val="11"/>
      <color rgb="FFFF0000"/>
      <name val="Times New Roman"/>
      <family val="1"/>
      <scheme val="major"/>
    </font>
    <font>
      <sz val="11"/>
      <color theme="1"/>
      <name val="Times New Roman"/>
      <family val="1"/>
    </font>
    <font>
      <sz val="13"/>
      <name val="Times New Roman"/>
      <family val="1"/>
      <charset val="163"/>
      <scheme val="major"/>
    </font>
    <font>
      <b/>
      <sz val="13"/>
      <name val="Times New Roman"/>
      <family val="1"/>
      <charset val="163"/>
      <scheme val="major"/>
    </font>
    <font>
      <i/>
      <sz val="13"/>
      <name val="Times New Roman"/>
      <family val="1"/>
      <charset val="163"/>
      <scheme val="major"/>
    </font>
    <font>
      <b/>
      <sz val="10"/>
      <color rgb="FF000000"/>
      <name val="Times New Roman"/>
      <family val="1"/>
    </font>
    <font>
      <sz val="12"/>
      <color theme="1"/>
      <name val="Times New Roman"/>
      <family val="1"/>
    </font>
    <font>
      <i/>
      <sz val="11"/>
      <color theme="1"/>
      <name val="Times New Roman"/>
      <family val="1"/>
    </font>
    <font>
      <sz val="12"/>
      <color rgb="FF000000"/>
      <name val="Times New Roman"/>
      <family val="1"/>
    </font>
    <font>
      <i/>
      <sz val="10"/>
      <color theme="1"/>
      <name val="Times New Roman"/>
      <family val="1"/>
    </font>
    <font>
      <i/>
      <sz val="10"/>
      <color rgb="FF000000"/>
      <name val="Times New Roman"/>
      <family val="1"/>
    </font>
    <font>
      <b/>
      <sz val="11"/>
      <color theme="1"/>
      <name val="Times New Roman"/>
      <family val="1"/>
    </font>
    <font>
      <i/>
      <sz val="12"/>
      <color rgb="FF000000"/>
      <name val="Times New Roman"/>
      <family val="1"/>
    </font>
    <font>
      <b/>
      <sz val="12"/>
      <color rgb="FF000000"/>
      <name val="Times New Roman"/>
      <family val="1"/>
    </font>
    <font>
      <b/>
      <sz val="12"/>
      <color theme="1"/>
      <name val="Times New Roman"/>
      <family val="1"/>
    </font>
    <font>
      <b/>
      <i/>
      <sz val="11"/>
      <color rgb="FF000000"/>
      <name val="Times New Roman"/>
      <family val="1"/>
    </font>
    <font>
      <b/>
      <sz val="11"/>
      <color rgb="FF000000"/>
      <name val="Times New Roman"/>
      <family val="1"/>
    </font>
    <font>
      <sz val="10"/>
      <color rgb="FF000000"/>
      <name val="Times New Roman"/>
      <family val="1"/>
      <scheme val="major"/>
    </font>
    <font>
      <i/>
      <sz val="11"/>
      <color theme="1"/>
      <name val="Times New Roman"/>
      <family val="1"/>
      <scheme val="major"/>
    </font>
    <font>
      <sz val="12"/>
      <color rgb="FFFF0000"/>
      <name val="Times New Roman"/>
      <family val="1"/>
    </font>
    <font>
      <b/>
      <i/>
      <sz val="12"/>
      <color rgb="FF000000"/>
      <name val="Times New Roman"/>
      <family val="1"/>
    </font>
    <font>
      <i/>
      <sz val="12"/>
      <color theme="1"/>
      <name val="Times New Roman"/>
      <family val="1"/>
    </font>
    <font>
      <sz val="10"/>
      <color theme="1"/>
      <name val="Times New Roman"/>
      <family val="1"/>
      <charset val="163"/>
      <scheme val="major"/>
    </font>
    <font>
      <b/>
      <sz val="10"/>
      <name val="Times New Roman"/>
      <family val="1"/>
      <charset val="163"/>
      <scheme val="major"/>
    </font>
    <font>
      <b/>
      <sz val="10"/>
      <color theme="1"/>
      <name val="Times New Roman"/>
      <family val="1"/>
      <charset val="163"/>
      <scheme val="major"/>
    </font>
    <font>
      <sz val="10"/>
      <name val="Times New Roman"/>
      <family val="1"/>
      <charset val="163"/>
      <scheme val="major"/>
    </font>
    <font>
      <b/>
      <i/>
      <sz val="10"/>
      <name val="Times New Roman"/>
      <family val="1"/>
      <charset val="163"/>
      <scheme val="major"/>
    </font>
    <font>
      <b/>
      <i/>
      <sz val="10"/>
      <color theme="1"/>
      <name val="Times New Roman"/>
      <family val="1"/>
      <charset val="163"/>
      <scheme val="major"/>
    </font>
    <font>
      <i/>
      <sz val="10"/>
      <name val="Times New Roman"/>
      <family val="1"/>
      <charset val="163"/>
      <scheme val="major"/>
    </font>
    <font>
      <sz val="10"/>
      <name val="Times New Roman"/>
      <family val="1"/>
      <scheme val="major"/>
    </font>
    <font>
      <sz val="14"/>
      <color theme="1"/>
      <name val="Times New Roman"/>
      <family val="1"/>
    </font>
    <font>
      <b/>
      <sz val="10"/>
      <color rgb="FF000000"/>
      <name val="Arial"/>
      <family val="2"/>
    </font>
    <font>
      <sz val="10"/>
      <color rgb="FF000000"/>
      <name val="Arial"/>
      <family val="2"/>
    </font>
    <font>
      <i/>
      <sz val="9"/>
      <color theme="1"/>
      <name val="Times New Roman"/>
      <family val="1"/>
    </font>
    <font>
      <b/>
      <i/>
      <sz val="11"/>
      <color theme="1"/>
      <name val="Times New Roman"/>
      <family val="1"/>
    </font>
    <font>
      <sz val="13"/>
      <color theme="1"/>
      <name val="Arial"/>
      <family val="2"/>
      <charset val="163"/>
      <scheme val="minor"/>
    </font>
    <font>
      <i/>
      <sz val="13"/>
      <color theme="1"/>
      <name val="Times New Roman"/>
      <family val="1"/>
    </font>
    <font>
      <sz val="11"/>
      <name val="Arial"/>
      <family val="2"/>
      <charset val="163"/>
      <scheme val="minor"/>
    </font>
    <font>
      <sz val="11"/>
      <color theme="0" tint="-0.499984740745262"/>
      <name val="Times New Roman"/>
      <family val="1"/>
    </font>
    <font>
      <i/>
      <sz val="12"/>
      <color theme="0" tint="-0.499984740745262"/>
      <name val="Times New Roman"/>
      <family val="1"/>
    </font>
    <font>
      <i/>
      <sz val="12"/>
      <color rgb="FFFF0000"/>
      <name val="Times New Roman"/>
      <family val="1"/>
    </font>
    <font>
      <b/>
      <sz val="12"/>
      <color theme="0" tint="-0.499984740745262"/>
      <name val="Times New Roman"/>
      <family val="1"/>
    </font>
    <font>
      <sz val="12"/>
      <color theme="0" tint="-0.499984740745262"/>
      <name val="Times New Roman"/>
      <family val="1"/>
    </font>
    <font>
      <b/>
      <i/>
      <sz val="10"/>
      <color rgb="FF000000"/>
      <name val="Times New Roman"/>
      <family val="1"/>
    </font>
    <font>
      <sz val="11"/>
      <color theme="2" tint="-0.249977111117893"/>
      <name val="Times New Roman"/>
      <family val="1"/>
    </font>
    <font>
      <b/>
      <sz val="12"/>
      <color theme="2" tint="-0.249977111117893"/>
      <name val="Times New Roman"/>
      <family val="1"/>
    </font>
    <font>
      <i/>
      <sz val="10"/>
      <color theme="2" tint="-0.249977111117893"/>
      <name val="Times New Roman"/>
      <family val="1"/>
    </font>
    <font>
      <sz val="12"/>
      <color theme="2" tint="-0.249977111117893"/>
      <name val="Times New Roman"/>
      <family val="1"/>
    </font>
    <font>
      <sz val="12"/>
      <color theme="0"/>
      <name val="Times New Roman"/>
      <family val="1"/>
    </font>
    <font>
      <sz val="11"/>
      <color theme="0"/>
      <name val="Times New Roman"/>
      <family val="1"/>
    </font>
    <font>
      <sz val="10"/>
      <color theme="1"/>
      <name val="Times New Roman"/>
      <family val="1"/>
    </font>
    <font>
      <sz val="10"/>
      <color rgb="FFFF0000"/>
      <name val="Times New Roman"/>
      <family val="1"/>
    </font>
    <font>
      <sz val="10"/>
      <color rgb="FFFF0000"/>
      <name val="Arial"/>
      <family val="2"/>
    </font>
    <font>
      <b/>
      <sz val="12"/>
      <color rgb="FFFF0000"/>
      <name val="Times New Roman"/>
      <family val="1"/>
    </font>
    <font>
      <sz val="11"/>
      <color rgb="FFFF0000"/>
      <name val="Times New Roman"/>
      <family val="1"/>
    </font>
    <font>
      <i/>
      <sz val="10"/>
      <color theme="0" tint="-0.499984740745262"/>
      <name val="Times New Roman"/>
      <family val="1"/>
    </font>
    <font>
      <b/>
      <sz val="16"/>
      <color theme="1"/>
      <name val="Times New Roman"/>
      <family val="1"/>
    </font>
    <font>
      <sz val="10"/>
      <color rgb="FF000000"/>
      <name val="Times New Roman"/>
      <family val="1"/>
    </font>
    <font>
      <i/>
      <sz val="11"/>
      <color rgb="FF000000"/>
      <name val="Times New Roman"/>
      <family val="1"/>
    </font>
    <font>
      <sz val="11"/>
      <color rgb="FF000000"/>
      <name val="Times New Roman"/>
      <family val="1"/>
    </font>
    <font>
      <b/>
      <sz val="14"/>
      <color rgb="FF000000"/>
      <name val="Times New Roman"/>
      <family val="1"/>
    </font>
    <font>
      <i/>
      <sz val="11.5"/>
      <color theme="1"/>
      <name val="Times New Roman"/>
      <family val="1"/>
    </font>
    <font>
      <b/>
      <i/>
      <sz val="12"/>
      <color theme="1"/>
      <name val="Times New Roman"/>
      <family val="1"/>
    </font>
    <font>
      <b/>
      <sz val="16"/>
      <color rgb="FF000000"/>
      <name val="Times New Roman"/>
      <family val="1"/>
    </font>
    <font>
      <i/>
      <sz val="11.5"/>
      <color rgb="FF000000"/>
      <name val="Times New Roman"/>
      <family val="1"/>
    </font>
    <font>
      <i/>
      <sz val="14"/>
      <color rgb="FF000000"/>
      <name val="Times New Roman"/>
      <family val="1"/>
    </font>
    <font>
      <b/>
      <sz val="11"/>
      <color rgb="FFFF0000"/>
      <name val="Times New Roman"/>
      <family val="1"/>
    </font>
    <font>
      <i/>
      <sz val="14"/>
      <color theme="1"/>
      <name val="Times New Roman"/>
      <family val="1"/>
    </font>
    <font>
      <b/>
      <sz val="14"/>
      <color rgb="FF000000"/>
      <name val="Times New Roman"/>
      <family val="1"/>
      <charset val="163"/>
      <scheme val="major"/>
    </font>
    <font>
      <b/>
      <i/>
      <sz val="13"/>
      <name val="Times New Roman"/>
      <family val="1"/>
      <charset val="163"/>
      <scheme val="major"/>
    </font>
  </fonts>
  <fills count="4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3" tint="0.79998168889431442"/>
        <bgColor indexed="64"/>
      </patternFill>
    </fill>
  </fills>
  <borders count="3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hair">
        <color rgb="FF000000"/>
      </top>
      <bottom style="hair">
        <color rgb="FF000000"/>
      </bottom>
      <diagonal/>
    </border>
  </borders>
  <cellStyleXfs count="297">
    <xf numFmtId="0" fontId="0" fillId="0" borderId="0"/>
    <xf numFmtId="0" fontId="74"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5" fillId="5" borderId="0" applyNumberFormat="0" applyBorder="0" applyAlignment="0" applyProtection="0"/>
    <xf numFmtId="0" fontId="74" fillId="5" borderId="0" applyNumberFormat="0" applyBorder="0" applyAlignment="0" applyProtection="0"/>
    <xf numFmtId="0" fontId="74" fillId="6" borderId="0" applyNumberFormat="0" applyBorder="0" applyAlignment="0" applyProtection="0"/>
    <xf numFmtId="0" fontId="75" fillId="6" borderId="0" applyNumberFormat="0" applyBorder="0" applyAlignment="0" applyProtection="0"/>
    <xf numFmtId="0" fontId="75" fillId="6" borderId="0" applyNumberFormat="0" applyBorder="0" applyAlignment="0" applyProtection="0"/>
    <xf numFmtId="0" fontId="75" fillId="6" borderId="0" applyNumberFormat="0" applyBorder="0" applyAlignment="0" applyProtection="0"/>
    <xf numFmtId="0" fontId="74" fillId="6" borderId="0" applyNumberFormat="0" applyBorder="0" applyAlignment="0" applyProtection="0"/>
    <xf numFmtId="0" fontId="74"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4" fillId="7" borderId="0" applyNumberFormat="0" applyBorder="0" applyAlignment="0" applyProtection="0"/>
    <xf numFmtId="0" fontId="74"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75" fillId="9" borderId="0" applyNumberFormat="0" applyBorder="0" applyAlignment="0" applyProtection="0"/>
    <xf numFmtId="0" fontId="75" fillId="9" borderId="0" applyNumberFormat="0" applyBorder="0" applyAlignment="0" applyProtection="0"/>
    <xf numFmtId="0" fontId="75" fillId="9"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5" fillId="10" borderId="0" applyNumberFormat="0" applyBorder="0" applyAlignment="0" applyProtection="0"/>
    <xf numFmtId="0" fontId="75" fillId="10" borderId="0" applyNumberFormat="0" applyBorder="0" applyAlignment="0" applyProtection="0"/>
    <xf numFmtId="0" fontId="75" fillId="10" borderId="0" applyNumberFormat="0" applyBorder="0" applyAlignment="0" applyProtection="0"/>
    <xf numFmtId="0" fontId="74" fillId="10" borderId="0" applyNumberFormat="0" applyBorder="0" applyAlignment="0" applyProtection="0"/>
    <xf numFmtId="0" fontId="74"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5" fillId="11" borderId="0" applyNumberFormat="0" applyBorder="0" applyAlignment="0" applyProtection="0"/>
    <xf numFmtId="0" fontId="74" fillId="11" borderId="0" applyNumberFormat="0" applyBorder="0" applyAlignment="0" applyProtection="0"/>
    <xf numFmtId="0" fontId="74"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5" fillId="12" borderId="0" applyNumberFormat="0" applyBorder="0" applyAlignment="0" applyProtection="0"/>
    <xf numFmtId="0" fontId="74" fillId="12" borderId="0" applyNumberFormat="0" applyBorder="0" applyAlignment="0" applyProtection="0"/>
    <xf numFmtId="0" fontId="74" fillId="13" borderId="0" applyNumberFormat="0" applyBorder="0" applyAlignment="0" applyProtection="0"/>
    <xf numFmtId="0" fontId="75" fillId="13" borderId="0" applyNumberFormat="0" applyBorder="0" applyAlignment="0" applyProtection="0"/>
    <xf numFmtId="0" fontId="75" fillId="13" borderId="0" applyNumberFormat="0" applyBorder="0" applyAlignment="0" applyProtection="0"/>
    <xf numFmtId="0" fontId="75" fillId="13"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5" fillId="15"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5" fillId="16" borderId="0" applyNumberFormat="0" applyBorder="0" applyAlignment="0" applyProtection="0"/>
    <xf numFmtId="0" fontId="74" fillId="16" borderId="0" applyNumberFormat="0" applyBorder="0" applyAlignment="0" applyProtection="0"/>
    <xf numFmtId="0" fontId="76" fillId="17" borderId="0" applyNumberFormat="0" applyBorder="0" applyAlignment="0" applyProtection="0"/>
    <xf numFmtId="0" fontId="77" fillId="17"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7" fillId="18"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7" fillId="19"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77" fillId="20" borderId="0" applyNumberFormat="0" applyBorder="0" applyAlignment="0" applyProtection="0"/>
    <xf numFmtId="0" fontId="76" fillId="20" borderId="0" applyNumberFormat="0" applyBorder="0" applyAlignment="0" applyProtection="0"/>
    <xf numFmtId="0" fontId="76" fillId="21" borderId="0" applyNumberFormat="0" applyBorder="0" applyAlignment="0" applyProtection="0"/>
    <xf numFmtId="0" fontId="77" fillId="21"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7" fillId="22"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7" fillId="23"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7" fillId="24"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7" fillId="25"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7" fillId="26"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7" fillId="27"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77" fillId="28" borderId="0" applyNumberFormat="0" applyBorder="0" applyAlignment="0" applyProtection="0"/>
    <xf numFmtId="0" fontId="76" fillId="28" borderId="0" applyNumberFormat="0" applyBorder="0" applyAlignment="0" applyProtection="0"/>
    <xf numFmtId="0" fontId="78" fillId="29" borderId="0" applyNumberFormat="0" applyBorder="0" applyAlignment="0" applyProtection="0"/>
    <xf numFmtId="0" fontId="79" fillId="29" borderId="0" applyNumberFormat="0" applyBorder="0" applyAlignment="0" applyProtection="0"/>
    <xf numFmtId="0" fontId="78" fillId="29" borderId="0" applyNumberFormat="0" applyBorder="0" applyAlignment="0" applyProtection="0"/>
    <xf numFmtId="0" fontId="19" fillId="0" borderId="0"/>
    <xf numFmtId="0" fontId="80" fillId="30" borderId="22" applyNumberFormat="0" applyAlignment="0" applyProtection="0"/>
    <xf numFmtId="0" fontId="81" fillId="30" borderId="22" applyNumberFormat="0" applyAlignment="0" applyProtection="0"/>
    <xf numFmtId="0" fontId="80" fillId="30" borderId="22" applyNumberFormat="0" applyAlignment="0" applyProtection="0"/>
    <xf numFmtId="0" fontId="82" fillId="31" borderId="23" applyNumberFormat="0" applyAlignment="0" applyProtection="0"/>
    <xf numFmtId="0" fontId="83" fillId="31" borderId="23" applyNumberFormat="0" applyAlignment="0" applyProtection="0"/>
    <xf numFmtId="0" fontId="82" fillId="31" borderId="23" applyNumberFormat="0" applyAlignment="0" applyProtection="0"/>
    <xf numFmtId="173" fontId="73" fillId="0" borderId="0" applyFont="0" applyFill="0" applyBorder="0" applyAlignment="0" applyProtection="0"/>
    <xf numFmtId="169" fontId="6" fillId="0" borderId="0" applyFont="0" applyFill="0" applyBorder="0" applyAlignment="0" applyProtection="0"/>
    <xf numFmtId="172" fontId="45" fillId="0" borderId="0" applyFont="0" applyFill="0" applyBorder="0" applyAlignment="0" applyProtection="0"/>
    <xf numFmtId="171" fontId="6" fillId="0" borderId="0" applyFont="0" applyFill="0" applyBorder="0" applyAlignment="0" applyProtection="0"/>
    <xf numFmtId="169" fontId="31" fillId="0" borderId="0" applyFont="0" applyFill="0" applyBorder="0" applyAlignment="0" applyProtection="0"/>
    <xf numFmtId="171" fontId="74" fillId="0" borderId="0" applyFont="0" applyFill="0" applyBorder="0" applyAlignment="0" applyProtection="0"/>
    <xf numFmtId="173" fontId="31" fillId="0" borderId="0" applyFont="0" applyFill="0" applyBorder="0" applyAlignment="0" applyProtection="0"/>
    <xf numFmtId="171" fontId="6" fillId="0" borderId="0" applyFont="0" applyFill="0" applyBorder="0" applyAlignment="0" applyProtection="0"/>
    <xf numFmtId="173" fontId="7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2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4" fontId="2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74" fillId="0" borderId="0" applyFont="0" applyFill="0" applyBorder="0" applyAlignment="0" applyProtection="0"/>
    <xf numFmtId="195" fontId="75" fillId="0" borderId="0" applyFont="0" applyFill="0" applyBorder="0" applyAlignment="0" applyProtection="0"/>
    <xf numFmtId="171" fontId="74" fillId="0" borderId="0" applyFont="0" applyFill="0" applyBorder="0" applyAlignment="0" applyProtection="0"/>
    <xf numFmtId="173" fontId="45" fillId="0" borderId="0" applyFont="0" applyFill="0" applyBorder="0" applyAlignment="0" applyProtection="0"/>
    <xf numFmtId="171" fontId="24" fillId="0" borderId="0" applyFont="0" applyFill="0" applyBorder="0" applyAlignment="0" applyProtection="0"/>
    <xf numFmtId="171" fontId="74" fillId="0" borderId="0" applyFont="0" applyFill="0" applyBorder="0" applyAlignment="0" applyProtection="0"/>
    <xf numFmtId="171" fontId="74" fillId="0" borderId="0" applyFont="0" applyFill="0" applyBorder="0" applyAlignment="0" applyProtection="0"/>
    <xf numFmtId="171" fontId="74" fillId="0" borderId="0" applyFon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6" fillId="32" borderId="0" applyNumberFormat="0" applyBorder="0" applyAlignment="0" applyProtection="0"/>
    <xf numFmtId="0" fontId="87" fillId="32" borderId="0" applyNumberFormat="0" applyBorder="0" applyAlignment="0" applyProtection="0"/>
    <xf numFmtId="0" fontId="86" fillId="32" borderId="0" applyNumberFormat="0" applyBorder="0" applyAlignment="0" applyProtection="0"/>
    <xf numFmtId="0" fontId="46" fillId="0" borderId="1" applyNumberFormat="0" applyAlignment="0" applyProtection="0">
      <alignment horizontal="left" vertical="center"/>
    </xf>
    <xf numFmtId="0" fontId="46" fillId="0" borderId="2">
      <alignment horizontal="left" vertical="center"/>
    </xf>
    <xf numFmtId="0" fontId="88" fillId="0" borderId="24" applyNumberFormat="0" applyFill="0" applyAlignment="0" applyProtection="0"/>
    <xf numFmtId="0" fontId="89" fillId="0" borderId="24" applyNumberFormat="0" applyFill="0" applyAlignment="0" applyProtection="0"/>
    <xf numFmtId="0" fontId="88" fillId="0" borderId="24" applyNumberFormat="0" applyFill="0" applyAlignment="0" applyProtection="0"/>
    <xf numFmtId="0" fontId="90" fillId="0" borderId="25" applyNumberFormat="0" applyFill="0" applyAlignment="0" applyProtection="0"/>
    <xf numFmtId="0" fontId="91" fillId="0" borderId="25" applyNumberFormat="0" applyFill="0" applyAlignment="0" applyProtection="0"/>
    <xf numFmtId="0" fontId="90" fillId="0" borderId="25" applyNumberFormat="0" applyFill="0" applyAlignment="0" applyProtection="0"/>
    <xf numFmtId="0" fontId="92" fillId="0" borderId="26" applyNumberFormat="0" applyFill="0" applyAlignment="0" applyProtection="0"/>
    <xf numFmtId="0" fontId="93" fillId="0" borderId="26" applyNumberFormat="0" applyFill="0" applyAlignment="0" applyProtection="0"/>
    <xf numFmtId="0" fontId="92" fillId="0" borderId="26"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2" fillId="0" borderId="0" applyNumberFormat="0" applyFill="0" applyBorder="0" applyAlignment="0" applyProtection="0"/>
    <xf numFmtId="0" fontId="94" fillId="33" borderId="22" applyNumberFormat="0" applyAlignment="0" applyProtection="0"/>
    <xf numFmtId="0" fontId="95" fillId="33" borderId="22" applyNumberFormat="0" applyAlignment="0" applyProtection="0"/>
    <xf numFmtId="0" fontId="94" fillId="33" borderId="22" applyNumberFormat="0" applyAlignment="0" applyProtection="0"/>
    <xf numFmtId="0" fontId="96" fillId="0" borderId="27" applyNumberFormat="0" applyFill="0" applyAlignment="0" applyProtection="0"/>
    <xf numFmtId="0" fontId="97" fillId="0" borderId="27" applyNumberFormat="0" applyFill="0" applyAlignment="0" applyProtection="0"/>
    <xf numFmtId="0" fontId="96" fillId="0" borderId="27" applyNumberFormat="0" applyFill="0" applyAlignment="0" applyProtection="0"/>
    <xf numFmtId="0" fontId="98" fillId="34" borderId="0" applyNumberFormat="0" applyBorder="0" applyAlignment="0" applyProtection="0"/>
    <xf numFmtId="0" fontId="99" fillId="34" borderId="0" applyNumberFormat="0" applyBorder="0" applyAlignment="0" applyProtection="0"/>
    <xf numFmtId="0" fontId="98" fillId="34" borderId="0" applyNumberFormat="0" applyBorder="0" applyAlignment="0" applyProtection="0"/>
    <xf numFmtId="0" fontId="74" fillId="0" borderId="0"/>
    <xf numFmtId="0" fontId="6" fillId="0" borderId="0"/>
    <xf numFmtId="0" fontId="74" fillId="0" borderId="0"/>
    <xf numFmtId="0" fontId="3" fillId="0" borderId="0"/>
    <xf numFmtId="0" fontId="3" fillId="0" borderId="0"/>
    <xf numFmtId="0" fontId="3" fillId="0" borderId="0"/>
    <xf numFmtId="0" fontId="3" fillId="0" borderId="0"/>
    <xf numFmtId="0" fontId="3" fillId="0" borderId="0"/>
    <xf numFmtId="0" fontId="6" fillId="0" borderId="0"/>
    <xf numFmtId="0" fontId="74" fillId="0" borderId="0"/>
    <xf numFmtId="0" fontId="3"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19" fillId="0" borderId="0"/>
    <xf numFmtId="0" fontId="47" fillId="0" borderId="0"/>
    <xf numFmtId="0" fontId="19" fillId="0" borderId="0"/>
    <xf numFmtId="0" fontId="39" fillId="0" borderId="0" applyProtection="0"/>
    <xf numFmtId="0" fontId="40" fillId="0" borderId="0"/>
    <xf numFmtId="0" fontId="6" fillId="0" borderId="0"/>
    <xf numFmtId="0" fontId="75" fillId="0" borderId="0"/>
    <xf numFmtId="0" fontId="3" fillId="0" borderId="0"/>
    <xf numFmtId="0" fontId="3" fillId="0" borderId="0"/>
    <xf numFmtId="0" fontId="3" fillId="0" borderId="0"/>
    <xf numFmtId="0" fontId="3" fillId="0" borderId="0"/>
    <xf numFmtId="0" fontId="3" fillId="0" borderId="0"/>
    <xf numFmtId="0" fontId="73" fillId="0" borderId="0"/>
    <xf numFmtId="0" fontId="101" fillId="0" borderId="0"/>
    <xf numFmtId="0" fontId="75" fillId="0" borderId="0"/>
    <xf numFmtId="0" fontId="3" fillId="0" borderId="0"/>
    <xf numFmtId="0" fontId="3" fillId="0" borderId="0"/>
    <xf numFmtId="0" fontId="3" fillId="0" borderId="0"/>
    <xf numFmtId="0" fontId="3" fillId="0" borderId="0"/>
    <xf numFmtId="0" fontId="3" fillId="0" borderId="0"/>
    <xf numFmtId="0" fontId="75" fillId="0" borderId="0"/>
    <xf numFmtId="0" fontId="101" fillId="0" borderId="0"/>
    <xf numFmtId="0" fontId="3" fillId="0" borderId="0"/>
    <xf numFmtId="0" fontId="3" fillId="0" borderId="0"/>
    <xf numFmtId="0" fontId="6" fillId="0" borderId="0"/>
    <xf numFmtId="0" fontId="6" fillId="0" borderId="0"/>
    <xf numFmtId="0" fontId="3" fillId="0" borderId="0"/>
    <xf numFmtId="0" fontId="3" fillId="0" borderId="0"/>
    <xf numFmtId="0" fontId="6" fillId="0" borderId="0"/>
    <xf numFmtId="0" fontId="74" fillId="0" borderId="0"/>
    <xf numFmtId="0" fontId="3" fillId="0" borderId="0"/>
    <xf numFmtId="0" fontId="3" fillId="0" borderId="0"/>
    <xf numFmtId="0" fontId="19" fillId="0" borderId="0"/>
    <xf numFmtId="0" fontId="19" fillId="0" borderId="0"/>
    <xf numFmtId="0" fontId="6" fillId="0" borderId="0"/>
    <xf numFmtId="0" fontId="23" fillId="0" borderId="0"/>
    <xf numFmtId="0" fontId="19" fillId="0" borderId="0"/>
    <xf numFmtId="0" fontId="19" fillId="0" borderId="0"/>
    <xf numFmtId="0" fontId="6" fillId="0" borderId="0"/>
    <xf numFmtId="0" fontId="23" fillId="0" borderId="0"/>
    <xf numFmtId="0" fontId="6" fillId="0" borderId="0"/>
    <xf numFmtId="0" fontId="18" fillId="0" borderId="0"/>
    <xf numFmtId="0" fontId="24" fillId="0" borderId="0"/>
    <xf numFmtId="0" fontId="74" fillId="35" borderId="28" applyNumberFormat="0" applyFont="0" applyAlignment="0" applyProtection="0"/>
    <xf numFmtId="0" fontId="75" fillId="35" borderId="28" applyNumberFormat="0" applyFont="0" applyAlignment="0" applyProtection="0"/>
    <xf numFmtId="0" fontId="75" fillId="35" borderId="28" applyNumberFormat="0" applyFont="0" applyAlignment="0" applyProtection="0"/>
    <xf numFmtId="0" fontId="75" fillId="35" borderId="28" applyNumberFormat="0" applyFont="0" applyAlignment="0" applyProtection="0"/>
    <xf numFmtId="0" fontId="74" fillId="35" borderId="28" applyNumberFormat="0" applyFont="0" applyAlignment="0" applyProtection="0"/>
    <xf numFmtId="0" fontId="102" fillId="30" borderId="29" applyNumberFormat="0" applyAlignment="0" applyProtection="0"/>
    <xf numFmtId="0" fontId="103" fillId="30" borderId="29" applyNumberFormat="0" applyAlignment="0" applyProtection="0"/>
    <xf numFmtId="0" fontId="102" fillId="30" borderId="29" applyNumberFormat="0" applyAlignment="0" applyProtection="0"/>
    <xf numFmtId="9" fontId="73" fillId="0" borderId="0" applyFont="0" applyFill="0" applyBorder="0" applyAlignment="0" applyProtection="0"/>
    <xf numFmtId="9" fontId="74" fillId="0" borderId="0" applyFont="0" applyFill="0" applyBorder="0" applyAlignment="0" applyProtection="0"/>
    <xf numFmtId="9" fontId="24" fillId="0" borderId="0" applyFont="0" applyFill="0" applyBorder="0" applyAlignment="0" applyProtection="0"/>
    <xf numFmtId="9" fontId="45" fillId="0" borderId="0" applyFon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4" fillId="0" borderId="0" applyNumberFormat="0" applyFill="0" applyBorder="0" applyAlignment="0" applyProtection="0"/>
    <xf numFmtId="0" fontId="106" fillId="0" borderId="30" applyNumberFormat="0" applyFill="0" applyAlignment="0" applyProtection="0"/>
    <xf numFmtId="0" fontId="107" fillId="0" borderId="30" applyNumberFormat="0" applyFill="0" applyAlignment="0" applyProtection="0"/>
    <xf numFmtId="0" fontId="106" fillId="0" borderId="30" applyNumberFormat="0" applyFill="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08" fillId="0" borderId="0" applyNumberFormat="0" applyFill="0" applyBorder="0" applyAlignment="0" applyProtection="0"/>
  </cellStyleXfs>
  <cellXfs count="1225">
    <xf numFmtId="0" fontId="0" fillId="0" borderId="0" xfId="0"/>
    <xf numFmtId="0" fontId="110" fillId="0" borderId="0" xfId="0" applyFont="1"/>
    <xf numFmtId="0" fontId="111" fillId="0" borderId="0" xfId="0" applyFont="1" applyAlignment="1">
      <alignment horizontal="right"/>
    </xf>
    <xf numFmtId="0" fontId="112" fillId="0" borderId="0" xfId="0" applyFont="1" applyAlignment="1">
      <alignment horizontal="right"/>
    </xf>
    <xf numFmtId="0" fontId="111" fillId="0" borderId="3" xfId="0" applyFont="1" applyBorder="1" applyAlignment="1">
      <alignment wrapText="1"/>
    </xf>
    <xf numFmtId="0" fontId="113" fillId="0" borderId="0" xfId="0" applyFont="1"/>
    <xf numFmtId="0" fontId="114" fillId="0" borderId="0" xfId="0" applyFont="1"/>
    <xf numFmtId="0" fontId="112" fillId="0" borderId="0" xfId="0" applyFont="1"/>
    <xf numFmtId="0" fontId="114" fillId="0" borderId="3" xfId="0" applyFont="1" applyBorder="1" applyAlignment="1">
      <alignment horizontal="center" vertical="top" wrapText="1"/>
    </xf>
    <xf numFmtId="0" fontId="114" fillId="0" borderId="3" xfId="0" applyFont="1" applyBorder="1" applyAlignment="1">
      <alignment vertical="top" wrapText="1"/>
    </xf>
    <xf numFmtId="0" fontId="114" fillId="0" borderId="3" xfId="0" applyFont="1" applyBorder="1" applyAlignment="1">
      <alignment horizontal="center" wrapText="1"/>
    </xf>
    <xf numFmtId="3" fontId="114" fillId="0" borderId="3" xfId="0" applyNumberFormat="1" applyFont="1" applyBorder="1" applyAlignment="1">
      <alignment horizontal="right" wrapText="1"/>
    </xf>
    <xf numFmtId="3" fontId="110" fillId="0" borderId="0" xfId="0" applyNumberFormat="1" applyFont="1"/>
    <xf numFmtId="0" fontId="115" fillId="0" borderId="3" xfId="0" applyFont="1" applyBorder="1" applyAlignment="1">
      <alignment horizontal="center" wrapText="1"/>
    </xf>
    <xf numFmtId="0" fontId="116" fillId="0" borderId="0" xfId="0" applyFont="1" applyFill="1" applyAlignment="1">
      <alignment vertical="center" wrapText="1"/>
    </xf>
    <xf numFmtId="181" fontId="116" fillId="0" borderId="0" xfId="107" applyNumberFormat="1" applyFont="1" applyFill="1" applyAlignment="1">
      <alignment vertical="center" wrapText="1"/>
    </xf>
    <xf numFmtId="182" fontId="116" fillId="0" borderId="0" xfId="107" applyNumberFormat="1" applyFont="1" applyFill="1" applyAlignment="1">
      <alignment vertical="center" wrapText="1"/>
    </xf>
    <xf numFmtId="0" fontId="116" fillId="0" borderId="0" xfId="0" applyFont="1" applyFill="1" applyAlignment="1">
      <alignment horizontal="center" vertical="center" wrapText="1"/>
    </xf>
    <xf numFmtId="0" fontId="117" fillId="0" borderId="3" xfId="0" applyFont="1" applyFill="1" applyBorder="1" applyAlignment="1">
      <alignment vertical="center" wrapText="1"/>
    </xf>
    <xf numFmtId="182" fontId="117" fillId="0" borderId="3" xfId="107" applyNumberFormat="1" applyFont="1" applyFill="1" applyBorder="1" applyAlignment="1">
      <alignment horizontal="right" vertical="center" wrapText="1"/>
    </xf>
    <xf numFmtId="0" fontId="118" fillId="0" borderId="3" xfId="0" applyFont="1" applyFill="1" applyBorder="1" applyAlignment="1">
      <alignment horizontal="center" vertical="center" wrapText="1"/>
    </xf>
    <xf numFmtId="0" fontId="118" fillId="0" borderId="3" xfId="0" applyFont="1" applyFill="1" applyBorder="1" applyAlignment="1">
      <alignment vertical="center" wrapText="1"/>
    </xf>
    <xf numFmtId="182" fontId="118" fillId="0" borderId="3" xfId="107" applyNumberFormat="1" applyFont="1" applyFill="1" applyBorder="1" applyAlignment="1">
      <alignment horizontal="right" vertical="center" wrapText="1"/>
    </xf>
    <xf numFmtId="182" fontId="118" fillId="0" borderId="3" xfId="107" applyNumberFormat="1" applyFont="1" applyFill="1" applyBorder="1" applyAlignment="1">
      <alignment horizontal="center" vertical="center" wrapText="1"/>
    </xf>
    <xf numFmtId="181" fontId="118" fillId="0" borderId="3" xfId="107" applyNumberFormat="1" applyFont="1" applyFill="1" applyBorder="1" applyAlignment="1">
      <alignment horizontal="right" vertical="center" wrapText="1"/>
    </xf>
    <xf numFmtId="175" fontId="117" fillId="0" borderId="3" xfId="107" applyNumberFormat="1" applyFont="1" applyFill="1" applyBorder="1" applyAlignment="1">
      <alignment horizontal="right" vertical="center" wrapText="1"/>
    </xf>
    <xf numFmtId="0" fontId="117" fillId="0" borderId="3" xfId="107" applyNumberFormat="1" applyFont="1" applyFill="1" applyBorder="1" applyAlignment="1">
      <alignment horizontal="center" vertical="center" wrapText="1"/>
    </xf>
    <xf numFmtId="0" fontId="119" fillId="0" borderId="0" xfId="0" applyFont="1" applyFill="1" applyAlignment="1">
      <alignment vertical="center" wrapText="1"/>
    </xf>
    <xf numFmtId="0" fontId="21" fillId="0" borderId="3" xfId="0" applyFont="1" applyFill="1" applyBorder="1" applyAlignment="1">
      <alignment horizontal="center" vertical="center" wrapText="1"/>
    </xf>
    <xf numFmtId="0" fontId="21" fillId="0" borderId="3" xfId="0" applyFont="1" applyFill="1" applyBorder="1" applyAlignment="1">
      <alignment vertical="center" wrapText="1"/>
    </xf>
    <xf numFmtId="182" fontId="21" fillId="0" borderId="3" xfId="107" applyNumberFormat="1" applyFont="1" applyFill="1" applyBorder="1" applyAlignment="1">
      <alignment horizontal="right" vertical="center" wrapText="1"/>
    </xf>
    <xf numFmtId="182" fontId="21" fillId="0" borderId="3" xfId="107" applyNumberFormat="1" applyFont="1" applyFill="1" applyBorder="1" applyAlignment="1">
      <alignment horizontal="center" vertical="center" wrapText="1"/>
    </xf>
    <xf numFmtId="0" fontId="22" fillId="0" borderId="0" xfId="0" applyFont="1" applyFill="1" applyAlignment="1">
      <alignmen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20" fillId="0" borderId="3" xfId="0" applyFont="1" applyFill="1" applyBorder="1" applyAlignment="1">
      <alignment horizontal="center" vertical="center" wrapText="1"/>
    </xf>
    <xf numFmtId="0" fontId="120" fillId="0" borderId="3" xfId="0" applyFont="1" applyFill="1" applyBorder="1" applyAlignment="1">
      <alignment vertical="center" wrapText="1"/>
    </xf>
    <xf numFmtId="182" fontId="120" fillId="0" borderId="3" xfId="107" applyNumberFormat="1" applyFont="1" applyFill="1" applyBorder="1" applyAlignment="1">
      <alignment horizontal="right" vertical="center" wrapText="1"/>
    </xf>
    <xf numFmtId="182" fontId="120" fillId="0" borderId="3" xfId="107" applyNumberFormat="1" applyFont="1" applyFill="1" applyBorder="1" applyAlignment="1">
      <alignment horizontal="center" vertical="center" wrapText="1"/>
    </xf>
    <xf numFmtId="0" fontId="121" fillId="0" borderId="0" xfId="0" applyFont="1" applyFill="1" applyAlignment="1">
      <alignment vertical="center" wrapText="1"/>
    </xf>
    <xf numFmtId="3" fontId="8" fillId="0" borderId="4" xfId="0" applyNumberFormat="1" applyFont="1" applyFill="1" applyBorder="1" applyAlignment="1">
      <alignment vertical="center" wrapText="1"/>
    </xf>
    <xf numFmtId="0" fontId="8" fillId="0" borderId="4" xfId="272" applyFont="1" applyFill="1" applyBorder="1" applyAlignment="1">
      <alignment horizontal="center" vertical="center" wrapText="1"/>
    </xf>
    <xf numFmtId="182" fontId="8" fillId="0" borderId="4" xfId="107" applyNumberFormat="1" applyFont="1" applyFill="1" applyBorder="1" applyAlignment="1">
      <alignment horizontal="right" vertical="center" wrapText="1"/>
    </xf>
    <xf numFmtId="0" fontId="8" fillId="0" borderId="4" xfId="272" applyFont="1" applyFill="1" applyBorder="1" applyAlignment="1">
      <alignment vertical="center" wrapText="1"/>
    </xf>
    <xf numFmtId="0" fontId="122" fillId="0" borderId="0" xfId="0" applyFont="1" applyFill="1" applyAlignment="1">
      <alignment vertical="center" wrapText="1"/>
    </xf>
    <xf numFmtId="0" fontId="8" fillId="0" borderId="4" xfId="268" applyFont="1" applyFill="1" applyBorder="1" applyAlignment="1">
      <alignment horizontal="center" vertical="center" wrapText="1"/>
    </xf>
    <xf numFmtId="1" fontId="8" fillId="0" borderId="4"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1" fontId="8"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11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82" fontId="118" fillId="0" borderId="5" xfId="107" applyNumberFormat="1" applyFont="1" applyFill="1" applyBorder="1" applyAlignment="1">
      <alignment horizontal="right" vertical="center" wrapText="1"/>
    </xf>
    <xf numFmtId="182" fontId="8" fillId="0" borderId="6" xfId="107" applyNumberFormat="1" applyFont="1" applyFill="1" applyBorder="1" applyAlignment="1">
      <alignment horizontal="right" vertical="center" wrapText="1"/>
    </xf>
    <xf numFmtId="182" fontId="8" fillId="0" borderId="5" xfId="107" applyNumberFormat="1" applyFont="1" applyFill="1" applyBorder="1" applyAlignment="1">
      <alignment horizontal="center" vertical="center" wrapText="1"/>
    </xf>
    <xf numFmtId="0" fontId="8" fillId="0" borderId="0" xfId="0" applyFont="1" applyFill="1" applyAlignment="1">
      <alignment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182" fontId="21" fillId="0" borderId="4" xfId="107" applyNumberFormat="1" applyFont="1" applyFill="1" applyBorder="1" applyAlignment="1">
      <alignment horizontal="right" vertical="center" wrapText="1"/>
    </xf>
    <xf numFmtId="181" fontId="120" fillId="0" borderId="3" xfId="107" applyNumberFormat="1" applyFont="1" applyFill="1" applyBorder="1" applyAlignment="1">
      <alignment horizontal="right" vertical="center" wrapText="1"/>
    </xf>
    <xf numFmtId="0" fontId="21" fillId="0" borderId="0" xfId="0" applyFont="1" applyFill="1" applyAlignment="1">
      <alignment vertical="center" wrapText="1"/>
    </xf>
    <xf numFmtId="0" fontId="8" fillId="0" borderId="4" xfId="0" applyFont="1" applyFill="1" applyBorder="1" applyAlignment="1">
      <alignment horizontal="justify" vertical="center" wrapText="1"/>
    </xf>
    <xf numFmtId="182" fontId="8" fillId="0" borderId="4" xfId="107" applyNumberFormat="1" applyFont="1" applyFill="1" applyBorder="1" applyAlignment="1">
      <alignment horizontal="center" vertical="center" wrapText="1"/>
    </xf>
    <xf numFmtId="182" fontId="8" fillId="0" borderId="5" xfId="107" applyNumberFormat="1" applyFont="1" applyFill="1" applyBorder="1" applyAlignment="1">
      <alignment horizontal="right" vertical="center" wrapText="1"/>
    </xf>
    <xf numFmtId="0" fontId="8" fillId="0" borderId="0"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182" fontId="8" fillId="0" borderId="3" xfId="107" applyNumberFormat="1" applyFont="1" applyFill="1" applyBorder="1" applyAlignment="1">
      <alignment horizontal="righ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3" fontId="8" fillId="0" borderId="4" xfId="199" quotePrefix="1" applyNumberFormat="1" applyFont="1" applyFill="1" applyBorder="1" applyAlignment="1">
      <alignment horizontal="left" vertical="center" wrapText="1"/>
    </xf>
    <xf numFmtId="0" fontId="117" fillId="0" borderId="5" xfId="0" applyFont="1" applyFill="1" applyBorder="1" applyAlignment="1">
      <alignment vertical="center" wrapText="1"/>
    </xf>
    <xf numFmtId="0" fontId="120" fillId="0" borderId="5" xfId="0" applyFont="1" applyFill="1" applyBorder="1" applyAlignment="1">
      <alignment vertical="center" wrapText="1"/>
    </xf>
    <xf numFmtId="0" fontId="8" fillId="0" borderId="7"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horizontal="center" vertical="center" wrapText="1"/>
    </xf>
    <xf numFmtId="0" fontId="8" fillId="0" borderId="4" xfId="0" quotePrefix="1" applyFont="1" applyFill="1" applyBorder="1" applyAlignment="1">
      <alignment horizontal="center" vertical="center" wrapText="1"/>
    </xf>
    <xf numFmtId="3" fontId="8" fillId="0" borderId="4" xfId="0" applyNumberFormat="1" applyFont="1" applyFill="1" applyBorder="1" applyAlignment="1">
      <alignment horizontal="left" vertical="center" wrapText="1"/>
    </xf>
    <xf numFmtId="49" fontId="8" fillId="0" borderId="4" xfId="265" quotePrefix="1" applyNumberFormat="1" applyFont="1" applyFill="1" applyBorder="1" applyAlignment="1">
      <alignment horizontal="center" vertical="center" wrapText="1"/>
    </xf>
    <xf numFmtId="0" fontId="2" fillId="0" borderId="5" xfId="0" applyFont="1" applyFill="1" applyBorder="1" applyAlignment="1">
      <alignment vertical="center" wrapText="1"/>
    </xf>
    <xf numFmtId="0" fontId="21" fillId="0" borderId="5" xfId="0" applyFont="1" applyFill="1" applyBorder="1" applyAlignment="1">
      <alignment vertical="center" wrapText="1"/>
    </xf>
    <xf numFmtId="182" fontId="8" fillId="0" borderId="7" xfId="107" applyNumberFormat="1" applyFont="1" applyFill="1" applyBorder="1" applyAlignment="1">
      <alignment horizontal="right" vertical="center" wrapText="1"/>
    </xf>
    <xf numFmtId="1" fontId="8" fillId="0" borderId="4" xfId="265" quotePrefix="1" applyNumberFormat="1" applyFont="1" applyFill="1" applyBorder="1" applyAlignment="1">
      <alignment horizontal="left" vertical="center" wrapText="1"/>
    </xf>
    <xf numFmtId="0" fontId="8" fillId="0" borderId="4" xfId="0" quotePrefix="1" applyFont="1" applyFill="1" applyBorder="1" applyAlignment="1">
      <alignment horizontal="center" vertical="center"/>
    </xf>
    <xf numFmtId="1" fontId="21" fillId="0" borderId="5" xfId="265" applyNumberFormat="1" applyFont="1" applyFill="1" applyBorder="1" applyAlignment="1">
      <alignment horizontal="left" vertical="center" wrapText="1"/>
    </xf>
    <xf numFmtId="0" fontId="21" fillId="0" borderId="5" xfId="0" quotePrefix="1" applyFont="1" applyFill="1" applyBorder="1" applyAlignment="1">
      <alignment horizontal="center" vertical="center"/>
    </xf>
    <xf numFmtId="0" fontId="123" fillId="0" borderId="3" xfId="0" quotePrefix="1" applyFont="1" applyFill="1" applyBorder="1" applyAlignment="1">
      <alignment horizontal="center" vertical="center" wrapText="1"/>
    </xf>
    <xf numFmtId="0" fontId="123" fillId="0" borderId="3" xfId="0" applyFont="1" applyFill="1" applyBorder="1" applyAlignment="1">
      <alignment vertical="center" wrapText="1"/>
    </xf>
    <xf numFmtId="182" fontId="123" fillId="0" borderId="3" xfId="107" applyNumberFormat="1" applyFont="1" applyFill="1" applyBorder="1" applyAlignment="1">
      <alignment horizontal="right" vertical="center" wrapText="1"/>
    </xf>
    <xf numFmtId="182" fontId="123" fillId="0" borderId="3" xfId="107" applyNumberFormat="1" applyFont="1" applyFill="1" applyBorder="1" applyAlignment="1">
      <alignment horizontal="center" vertical="center" wrapText="1"/>
    </xf>
    <xf numFmtId="3" fontId="8" fillId="0" borderId="4" xfId="265" quotePrefix="1" applyNumberFormat="1" applyFont="1" applyFill="1" applyBorder="1" applyAlignment="1">
      <alignment vertical="center" wrapText="1"/>
    </xf>
    <xf numFmtId="0" fontId="8" fillId="0" borderId="4" xfId="0" quotePrefix="1" applyFont="1" applyFill="1" applyBorder="1" applyAlignment="1">
      <alignment vertical="center" wrapText="1"/>
    </xf>
    <xf numFmtId="3" fontId="8" fillId="0" borderId="4" xfId="0" quotePrefix="1" applyNumberFormat="1" applyFont="1" applyFill="1" applyBorder="1" applyAlignment="1">
      <alignment horizontal="left" vertical="center" wrapText="1"/>
    </xf>
    <xf numFmtId="3" fontId="8" fillId="0" borderId="7" xfId="199" applyNumberFormat="1" applyFont="1" applyFill="1" applyBorder="1" applyAlignment="1">
      <alignment horizontal="left" vertical="center" wrapText="1"/>
    </xf>
    <xf numFmtId="0" fontId="123" fillId="0" borderId="3" xfId="0" applyFont="1" applyFill="1" applyBorder="1" applyAlignment="1">
      <alignment horizontal="center" vertical="center" wrapText="1"/>
    </xf>
    <xf numFmtId="1" fontId="8" fillId="0" borderId="4" xfId="265" applyNumberFormat="1" applyFont="1" applyFill="1" applyBorder="1" applyAlignment="1">
      <alignment horizontal="center" vertical="center" wrapText="1"/>
    </xf>
    <xf numFmtId="1" fontId="8" fillId="0" borderId="4" xfId="265" quotePrefix="1" applyNumberFormat="1" applyFont="1" applyFill="1" applyBorder="1" applyAlignment="1">
      <alignment horizontal="center" vertical="center" wrapText="1"/>
    </xf>
    <xf numFmtId="1" fontId="8" fillId="0" borderId="4" xfId="265" applyNumberFormat="1" applyFont="1" applyFill="1" applyBorder="1" applyAlignment="1">
      <alignment vertical="center" wrapText="1"/>
    </xf>
    <xf numFmtId="182" fontId="8" fillId="0" borderId="4" xfId="107" applyNumberFormat="1" applyFont="1" applyFill="1" applyBorder="1" applyAlignment="1">
      <alignment vertical="center" wrapText="1"/>
    </xf>
    <xf numFmtId="3" fontId="8" fillId="0" borderId="4" xfId="265" applyNumberFormat="1" applyFont="1" applyFill="1" applyBorder="1" applyAlignment="1">
      <alignment vertical="center" wrapText="1"/>
    </xf>
    <xf numFmtId="49" fontId="8" fillId="0" borderId="4" xfId="265" applyNumberFormat="1" applyFont="1" applyFill="1" applyBorder="1" applyAlignment="1">
      <alignment horizontal="center" vertical="center" wrapText="1"/>
    </xf>
    <xf numFmtId="0" fontId="8" fillId="0" borderId="4" xfId="227" applyFont="1" applyFill="1" applyBorder="1" applyAlignment="1">
      <alignment horizontal="left" vertical="center" wrapText="1"/>
    </xf>
    <xf numFmtId="0" fontId="8" fillId="0" borderId="7" xfId="227" applyFont="1" applyFill="1" applyBorder="1" applyAlignment="1">
      <alignment horizontal="left" vertical="center" wrapText="1"/>
    </xf>
    <xf numFmtId="49" fontId="8" fillId="0" borderId="7" xfId="265"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22" fillId="0" borderId="3" xfId="227" applyFont="1" applyFill="1" applyBorder="1" applyAlignment="1">
      <alignment horizontal="left" vertical="center" wrapText="1"/>
    </xf>
    <xf numFmtId="49" fontId="22" fillId="0" borderId="3" xfId="265" applyNumberFormat="1" applyFont="1" applyFill="1" applyBorder="1" applyAlignment="1">
      <alignment horizontal="center" vertical="center" wrapText="1"/>
    </xf>
    <xf numFmtId="175" fontId="22" fillId="0" borderId="3" xfId="107" applyNumberFormat="1" applyFont="1" applyFill="1" applyBorder="1" applyAlignment="1">
      <alignment horizontal="right" vertical="center" wrapText="1"/>
    </xf>
    <xf numFmtId="182" fontId="22" fillId="0" borderId="3" xfId="107" applyNumberFormat="1" applyFont="1" applyFill="1" applyBorder="1" applyAlignment="1">
      <alignment horizontal="right" vertical="center" wrapText="1"/>
    </xf>
    <xf numFmtId="1" fontId="8" fillId="0" borderId="7" xfId="265" applyNumberFormat="1" applyFont="1" applyFill="1" applyBorder="1" applyAlignment="1">
      <alignment vertical="center" wrapText="1"/>
    </xf>
    <xf numFmtId="1" fontId="21" fillId="0" borderId="3" xfId="265" applyNumberFormat="1" applyFont="1" applyFill="1" applyBorder="1" applyAlignment="1">
      <alignment vertical="center" wrapText="1"/>
    </xf>
    <xf numFmtId="49" fontId="21" fillId="0" borderId="3" xfId="265" applyNumberFormat="1" applyFont="1" applyFill="1" applyBorder="1" applyAlignment="1">
      <alignment horizontal="center" vertical="center" wrapText="1"/>
    </xf>
    <xf numFmtId="0" fontId="8" fillId="0" borderId="7" xfId="199" applyFont="1" applyFill="1" applyBorder="1" applyAlignment="1">
      <alignment horizontal="left" vertical="center" wrapText="1"/>
    </xf>
    <xf numFmtId="0" fontId="22" fillId="0" borderId="3" xfId="199" applyFont="1" applyFill="1" applyBorder="1" applyAlignment="1">
      <alignment horizontal="left" vertical="center" wrapText="1"/>
    </xf>
    <xf numFmtId="0" fontId="22" fillId="0" borderId="3" xfId="0" applyFont="1" applyFill="1" applyBorder="1" applyAlignment="1">
      <alignment horizontal="center" vertical="center" wrapText="1"/>
    </xf>
    <xf numFmtId="0" fontId="8" fillId="0" borderId="4" xfId="275" applyNumberFormat="1" applyFont="1" applyFill="1" applyBorder="1" applyAlignment="1">
      <alignment horizontal="left" vertical="center" wrapText="1"/>
    </xf>
    <xf numFmtId="0" fontId="8" fillId="0" borderId="4" xfId="275" applyNumberFormat="1" applyFont="1" applyFill="1" applyBorder="1" applyAlignment="1">
      <alignment horizontal="center" vertical="center" wrapText="1"/>
    </xf>
    <xf numFmtId="1" fontId="8" fillId="0" borderId="4" xfId="266" applyNumberFormat="1" applyFont="1" applyFill="1" applyBorder="1" applyAlignment="1">
      <alignment horizontal="center" vertical="center" wrapText="1"/>
    </xf>
    <xf numFmtId="49" fontId="8" fillId="0" borderId="4" xfId="270" applyNumberFormat="1" applyFont="1" applyFill="1" applyBorder="1" applyAlignment="1">
      <alignment horizontal="center" vertical="center" wrapText="1"/>
    </xf>
    <xf numFmtId="181" fontId="117" fillId="0" borderId="3" xfId="107" applyNumberFormat="1" applyFont="1" applyFill="1" applyBorder="1" applyAlignment="1">
      <alignment horizontal="right" vertical="center" wrapText="1"/>
    </xf>
    <xf numFmtId="49" fontId="8" fillId="0" borderId="7" xfId="270" applyNumberFormat="1" applyFont="1" applyFill="1" applyBorder="1" applyAlignment="1">
      <alignment horizontal="center" vertical="center" wrapText="1"/>
    </xf>
    <xf numFmtId="0" fontId="21" fillId="0" borderId="5" xfId="0" applyFont="1" applyFill="1" applyBorder="1" applyAlignment="1">
      <alignment horizontal="left" vertical="center" wrapText="1"/>
    </xf>
    <xf numFmtId="49" fontId="21" fillId="0" borderId="5" xfId="270" applyNumberFormat="1" applyFont="1" applyFill="1" applyBorder="1" applyAlignment="1">
      <alignment horizontal="center" vertical="center" wrapText="1"/>
    </xf>
    <xf numFmtId="0" fontId="122" fillId="0" borderId="0" xfId="0" applyFont="1" applyFill="1" applyAlignment="1">
      <alignment horizontal="left" vertical="center" wrapText="1"/>
    </xf>
    <xf numFmtId="49" fontId="21" fillId="0" borderId="3" xfId="27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1" fontId="8" fillId="0" borderId="4" xfId="265" quotePrefix="1" applyNumberFormat="1" applyFont="1" applyFill="1" applyBorder="1" applyAlignment="1">
      <alignment vertical="center" wrapText="1"/>
    </xf>
    <xf numFmtId="0" fontId="8" fillId="0" borderId="4" xfId="107" applyNumberFormat="1" applyFont="1" applyFill="1" applyBorder="1" applyAlignment="1">
      <alignment horizontal="center" vertical="center" wrapText="1"/>
    </xf>
    <xf numFmtId="182" fontId="2" fillId="0" borderId="3" xfId="107" applyNumberFormat="1" applyFont="1" applyFill="1" applyBorder="1" applyAlignment="1">
      <alignment horizontal="right" vertical="center" wrapText="1"/>
    </xf>
    <xf numFmtId="49" fontId="2" fillId="0" borderId="3" xfId="265" applyNumberFormat="1" applyFont="1" applyFill="1" applyBorder="1" applyAlignment="1">
      <alignment horizontal="center" vertical="center" wrapText="1"/>
    </xf>
    <xf numFmtId="1" fontId="8" fillId="0" borderId="4" xfId="180" applyNumberFormat="1" applyFont="1" applyFill="1" applyBorder="1" applyAlignment="1">
      <alignment horizontal="left" vertical="center" wrapText="1"/>
    </xf>
    <xf numFmtId="1" fontId="8" fillId="0" borderId="4" xfId="265" applyNumberFormat="1" applyFont="1" applyFill="1" applyBorder="1" applyAlignment="1">
      <alignment horizontal="left" vertical="center" wrapText="1"/>
    </xf>
    <xf numFmtId="3" fontId="8" fillId="0" borderId="4" xfId="269" applyNumberFormat="1" applyFont="1" applyFill="1" applyBorder="1" applyAlignment="1">
      <alignment vertical="center" wrapText="1"/>
    </xf>
    <xf numFmtId="0" fontId="8" fillId="0" borderId="4" xfId="0" applyFont="1" applyFill="1" applyBorder="1" applyAlignment="1">
      <alignment horizontal="center" vertical="center"/>
    </xf>
    <xf numFmtId="3" fontId="8" fillId="0" borderId="4" xfId="0" applyNumberFormat="1" applyFont="1" applyFill="1" applyBorder="1" applyAlignment="1">
      <alignment horizontal="justify" vertical="center" wrapText="1"/>
    </xf>
    <xf numFmtId="3" fontId="8" fillId="0" borderId="4" xfId="199" applyNumberFormat="1" applyFont="1" applyFill="1" applyBorder="1" applyAlignment="1">
      <alignment horizontal="left" vertical="center" wrapText="1"/>
    </xf>
    <xf numFmtId="0" fontId="21" fillId="0" borderId="4" xfId="268" applyFont="1" applyFill="1" applyBorder="1" applyAlignment="1">
      <alignment horizontal="center" vertical="center" wrapText="1"/>
    </xf>
    <xf numFmtId="182" fontId="120" fillId="0" borderId="5" xfId="107" applyNumberFormat="1" applyFont="1" applyFill="1" applyBorder="1" applyAlignment="1">
      <alignment horizontal="right" vertical="center" wrapText="1"/>
    </xf>
    <xf numFmtId="0" fontId="8" fillId="0" borderId="7" xfId="0" quotePrefix="1" applyFont="1" applyFill="1" applyBorder="1" applyAlignment="1">
      <alignment horizontal="center" vertical="center"/>
    </xf>
    <xf numFmtId="0" fontId="8" fillId="0" borderId="4" xfId="268" applyFont="1" applyFill="1" applyBorder="1" applyAlignment="1">
      <alignment horizontal="left" vertical="center" wrapText="1"/>
    </xf>
    <xf numFmtId="0" fontId="8" fillId="0" borderId="4" xfId="233" applyFont="1" applyFill="1" applyBorder="1" applyAlignment="1">
      <alignment vertical="center" wrapText="1"/>
    </xf>
    <xf numFmtId="0" fontId="8" fillId="0" borderId="4" xfId="233" applyFont="1" applyFill="1" applyBorder="1" applyAlignment="1">
      <alignment horizontal="center" vertical="center" wrapText="1"/>
    </xf>
    <xf numFmtId="169" fontId="8" fillId="0" borderId="4" xfId="180" applyNumberFormat="1" applyFont="1" applyFill="1" applyBorder="1" applyAlignment="1">
      <alignment horizontal="left" vertical="center" wrapText="1"/>
    </xf>
    <xf numFmtId="169" fontId="8" fillId="0" borderId="4" xfId="0" applyNumberFormat="1" applyFont="1" applyFill="1" applyBorder="1" applyAlignment="1">
      <alignment vertical="center" wrapText="1"/>
    </xf>
    <xf numFmtId="0" fontId="8" fillId="0" borderId="4" xfId="199" quotePrefix="1" applyFont="1" applyFill="1" applyBorder="1" applyAlignment="1">
      <alignment horizontal="left" vertical="center" wrapText="1"/>
    </xf>
    <xf numFmtId="183" fontId="8" fillId="0" borderId="4" xfId="199" quotePrefix="1" applyNumberFormat="1" applyFont="1" applyFill="1" applyBorder="1" applyAlignment="1">
      <alignment horizontal="center" vertical="center" wrapText="1"/>
    </xf>
    <xf numFmtId="0" fontId="8" fillId="0" borderId="4" xfId="268" quotePrefix="1" applyFont="1" applyFill="1" applyBorder="1" applyAlignment="1">
      <alignment horizontal="center" vertical="center" wrapText="1"/>
    </xf>
    <xf numFmtId="182" fontId="8" fillId="0" borderId="4" xfId="107" quotePrefix="1" applyNumberFormat="1" applyFont="1" applyFill="1" applyBorder="1" applyAlignment="1">
      <alignment horizontal="right" vertical="center" wrapText="1"/>
    </xf>
    <xf numFmtId="0" fontId="8" fillId="0" borderId="7"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8" fillId="0" borderId="8"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7" xfId="268" applyFont="1" applyFill="1" applyBorder="1" applyAlignment="1">
      <alignment horizontal="left" vertical="center" wrapText="1"/>
    </xf>
    <xf numFmtId="0" fontId="8" fillId="0" borderId="7" xfId="268" applyFont="1" applyFill="1" applyBorder="1" applyAlignment="1">
      <alignment horizontal="center" vertical="center" wrapText="1"/>
    </xf>
    <xf numFmtId="49" fontId="21" fillId="0" borderId="5" xfId="265" applyNumberFormat="1" applyFont="1" applyFill="1" applyBorder="1" applyAlignment="1">
      <alignment horizontal="center" vertical="center" wrapText="1"/>
    </xf>
    <xf numFmtId="0" fontId="8" fillId="0" borderId="4" xfId="274" applyNumberFormat="1" applyFont="1" applyFill="1" applyBorder="1" applyAlignment="1">
      <alignment vertical="center" wrapText="1"/>
    </xf>
    <xf numFmtId="0" fontId="8" fillId="0" borderId="4" xfId="180" applyFont="1" applyFill="1" applyBorder="1" applyAlignment="1">
      <alignment horizontal="left" vertical="center" wrapText="1"/>
    </xf>
    <xf numFmtId="1" fontId="8" fillId="0" borderId="4" xfId="0" quotePrefix="1" applyNumberFormat="1" applyFont="1" applyFill="1" applyBorder="1" applyAlignment="1">
      <alignment horizontal="center" vertical="center" wrapText="1"/>
    </xf>
    <xf numFmtId="49" fontId="8" fillId="0" borderId="4" xfId="199" quotePrefix="1" applyNumberFormat="1" applyFont="1" applyFill="1" applyBorder="1" applyAlignment="1">
      <alignment horizontal="left" vertical="center" wrapText="1"/>
    </xf>
    <xf numFmtId="49" fontId="8" fillId="0" borderId="4" xfId="199" quotePrefix="1" applyNumberFormat="1" applyFont="1" applyFill="1" applyBorder="1" applyAlignment="1">
      <alignment horizontal="center" vertical="center" wrapText="1"/>
    </xf>
    <xf numFmtId="49" fontId="8" fillId="0" borderId="4" xfId="199" applyNumberFormat="1" applyFont="1" applyFill="1" applyBorder="1" applyAlignment="1">
      <alignment horizontal="center" vertical="center" wrapText="1"/>
    </xf>
    <xf numFmtId="49" fontId="8" fillId="0" borderId="4" xfId="199" applyNumberFormat="1" applyFont="1" applyFill="1" applyBorder="1" applyAlignment="1">
      <alignment horizontal="left" vertical="center" wrapText="1"/>
    </xf>
    <xf numFmtId="0" fontId="21" fillId="0" borderId="4" xfId="0" applyFont="1" applyFill="1" applyBorder="1" applyAlignment="1">
      <alignment vertical="center" wrapText="1"/>
    </xf>
    <xf numFmtId="3" fontId="8" fillId="0" borderId="4" xfId="265" applyNumberFormat="1" applyFont="1" applyFill="1" applyBorder="1" applyAlignment="1">
      <alignment horizontal="left" vertical="center" wrapText="1"/>
    </xf>
    <xf numFmtId="3" fontId="8" fillId="0" borderId="4" xfId="199" applyNumberFormat="1" applyFont="1" applyFill="1" applyBorder="1" applyAlignment="1">
      <alignment horizontal="center" vertical="center" wrapText="1"/>
    </xf>
    <xf numFmtId="3" fontId="8" fillId="0" borderId="5" xfId="199" applyNumberFormat="1" applyFont="1" applyFill="1" applyBorder="1" applyAlignment="1">
      <alignment horizontal="left" vertical="center" wrapText="1"/>
    </xf>
    <xf numFmtId="0" fontId="8" fillId="0" borderId="4" xfId="199" applyFont="1" applyFill="1" applyBorder="1" applyAlignment="1">
      <alignment horizontal="left" vertical="center" wrapText="1"/>
    </xf>
    <xf numFmtId="0" fontId="8" fillId="0" borderId="4" xfId="0" quotePrefix="1" applyFont="1" applyFill="1" applyBorder="1" applyAlignment="1">
      <alignment horizontal="center"/>
    </xf>
    <xf numFmtId="0" fontId="118" fillId="0" borderId="0" xfId="0" applyFont="1" applyFill="1" applyAlignment="1">
      <alignment vertical="center" wrapText="1"/>
    </xf>
    <xf numFmtId="182" fontId="116" fillId="0" borderId="0" xfId="107" applyNumberFormat="1" applyFont="1" applyFill="1" applyAlignment="1">
      <alignment horizontal="right" vertical="center" wrapText="1"/>
    </xf>
    <xf numFmtId="0" fontId="4" fillId="2" borderId="3" xfId="0" applyNumberFormat="1" applyFont="1" applyFill="1" applyBorder="1"/>
    <xf numFmtId="0" fontId="9" fillId="2" borderId="3" xfId="0" applyNumberFormat="1" applyFont="1" applyFill="1" applyBorder="1" applyAlignment="1">
      <alignment horizontal="left"/>
    </xf>
    <xf numFmtId="0" fontId="6" fillId="0" borderId="0" xfId="271" applyAlignment="1">
      <alignment horizontal="center" vertical="center"/>
    </xf>
    <xf numFmtId="0" fontId="6" fillId="0" borderId="0" xfId="271"/>
    <xf numFmtId="0" fontId="29" fillId="0" borderId="0" xfId="271" applyFont="1" applyAlignment="1">
      <alignment horizontal="center" wrapText="1"/>
    </xf>
    <xf numFmtId="0" fontId="3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184" fontId="10" fillId="0" borderId="0" xfId="113" applyNumberFormat="1" applyFont="1" applyFill="1" applyAlignment="1">
      <alignment vertical="center"/>
    </xf>
    <xf numFmtId="184" fontId="3" fillId="0" borderId="0" xfId="113" applyNumberFormat="1" applyFont="1" applyFill="1" applyAlignment="1">
      <alignment vertical="center"/>
    </xf>
    <xf numFmtId="184" fontId="12" fillId="0" borderId="0" xfId="113" applyNumberFormat="1" applyFont="1" applyFill="1" applyAlignment="1">
      <alignment horizontal="right" vertical="center"/>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184" fontId="10" fillId="0" borderId="3" xfId="113" applyNumberFormat="1" applyFont="1" applyFill="1" applyBorder="1" applyAlignment="1">
      <alignment horizontal="center" vertical="center"/>
    </xf>
    <xf numFmtId="0" fontId="10" fillId="0" borderId="0" xfId="0" applyFont="1" applyFill="1" applyAlignment="1">
      <alignment horizontal="center"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184" fontId="10" fillId="0" borderId="3" xfId="113"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184" fontId="7" fillId="0" borderId="3" xfId="113" applyNumberFormat="1" applyFont="1" applyFill="1" applyBorder="1" applyAlignment="1">
      <alignment horizontal="right"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vertical="center"/>
    </xf>
    <xf numFmtId="4" fontId="7" fillId="0" borderId="3" xfId="113" applyNumberFormat="1" applyFont="1" applyFill="1" applyBorder="1" applyAlignment="1">
      <alignment horizontal="right" vertical="center"/>
    </xf>
    <xf numFmtId="0" fontId="3" fillId="0" borderId="3" xfId="0" applyFont="1" applyFill="1" applyBorder="1" applyAlignment="1">
      <alignment vertical="center" wrapText="1"/>
    </xf>
    <xf numFmtId="0" fontId="3" fillId="36" borderId="3" xfId="0" applyFont="1" applyFill="1" applyBorder="1" applyAlignment="1">
      <alignment horizontal="center" vertical="center"/>
    </xf>
    <xf numFmtId="0" fontId="3" fillId="36" borderId="3" xfId="0" applyFont="1" applyFill="1" applyBorder="1" applyAlignment="1">
      <alignment vertical="center" wrapText="1"/>
    </xf>
    <xf numFmtId="0" fontId="3" fillId="36" borderId="3" xfId="0" applyFont="1" applyFill="1" applyBorder="1" applyAlignment="1">
      <alignment horizontal="center" vertical="center" wrapText="1"/>
    </xf>
    <xf numFmtId="184" fontId="7" fillId="36" borderId="3" xfId="113" applyNumberFormat="1" applyFont="1" applyFill="1" applyBorder="1" applyAlignment="1">
      <alignment horizontal="right" vertical="center"/>
    </xf>
    <xf numFmtId="0" fontId="3" fillId="36" borderId="0" xfId="0" applyFont="1" applyFill="1" applyAlignment="1">
      <alignment vertical="center"/>
    </xf>
    <xf numFmtId="49" fontId="3" fillId="0" borderId="4" xfId="0" applyNumberFormat="1" applyFont="1" applyFill="1" applyBorder="1" applyAlignment="1">
      <alignment vertical="center" wrapText="1"/>
    </xf>
    <xf numFmtId="14" fontId="3" fillId="0" borderId="3"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37" borderId="3" xfId="0" applyFont="1" applyFill="1" applyBorder="1" applyAlignment="1">
      <alignment horizontal="center" vertical="center"/>
    </xf>
    <xf numFmtId="0" fontId="3" fillId="37" borderId="3" xfId="0" applyFont="1" applyFill="1" applyBorder="1" applyAlignment="1">
      <alignment vertical="center" wrapText="1"/>
    </xf>
    <xf numFmtId="0" fontId="3" fillId="37" borderId="3" xfId="0" applyFont="1" applyFill="1" applyBorder="1" applyAlignment="1">
      <alignment horizontal="center" vertical="center" wrapText="1"/>
    </xf>
    <xf numFmtId="184" fontId="7" fillId="37" borderId="3" xfId="113" applyNumberFormat="1" applyFont="1" applyFill="1" applyBorder="1" applyAlignment="1">
      <alignment horizontal="right" vertical="center"/>
    </xf>
    <xf numFmtId="4" fontId="3" fillId="37" borderId="3" xfId="0" applyNumberFormat="1" applyFont="1" applyFill="1" applyBorder="1" applyAlignment="1">
      <alignment vertical="center"/>
    </xf>
    <xf numFmtId="0" fontId="3" fillId="37" borderId="0" xfId="0" applyFont="1" applyFill="1" applyAlignment="1">
      <alignment vertical="center"/>
    </xf>
    <xf numFmtId="0" fontId="124" fillId="0" borderId="0" xfId="0" applyFont="1"/>
    <xf numFmtId="3" fontId="124" fillId="0" borderId="0" xfId="0" applyNumberFormat="1" applyFont="1"/>
    <xf numFmtId="0" fontId="125" fillId="0" borderId="3" xfId="0" applyFont="1" applyBorder="1" applyAlignment="1">
      <alignment horizontal="center"/>
    </xf>
    <xf numFmtId="0" fontId="125" fillId="0" borderId="0" xfId="0" applyFont="1" applyAlignment="1">
      <alignment horizontal="center"/>
    </xf>
    <xf numFmtId="0" fontId="126" fillId="38" borderId="3" xfId="0" applyFont="1" applyFill="1" applyBorder="1"/>
    <xf numFmtId="0" fontId="126" fillId="38" borderId="0" xfId="0" applyFont="1" applyFill="1"/>
    <xf numFmtId="0" fontId="127" fillId="0" borderId="3" xfId="0" applyFont="1" applyBorder="1"/>
    <xf numFmtId="3" fontId="127" fillId="0" borderId="3" xfId="0" applyNumberFormat="1" applyFont="1" applyBorder="1"/>
    <xf numFmtId="2" fontId="127" fillId="0" borderId="3" xfId="0" applyNumberFormat="1" applyFont="1" applyBorder="1"/>
    <xf numFmtId="0" fontId="127" fillId="0" borderId="0" xfId="0" applyFont="1"/>
    <xf numFmtId="185" fontId="127" fillId="0" borderId="3" xfId="0" applyNumberFormat="1" applyFont="1" applyBorder="1"/>
    <xf numFmtId="0" fontId="128" fillId="38" borderId="0" xfId="0" applyFont="1" applyFill="1"/>
    <xf numFmtId="0" fontId="129" fillId="0" borderId="0" xfId="0" applyFont="1"/>
    <xf numFmtId="184" fontId="10" fillId="0" borderId="3" xfId="113" applyNumberFormat="1" applyFont="1" applyFill="1" applyBorder="1" applyAlignment="1">
      <alignment horizontal="center" vertical="center" wrapText="1"/>
    </xf>
    <xf numFmtId="3" fontId="3" fillId="0" borderId="3" xfId="0" applyNumberFormat="1" applyFont="1" applyFill="1" applyBorder="1" applyAlignment="1">
      <alignment vertical="center"/>
    </xf>
    <xf numFmtId="0" fontId="3" fillId="0" borderId="3" xfId="0" applyFont="1" applyFill="1" applyBorder="1" applyAlignment="1">
      <alignment horizontal="left" vertical="center"/>
    </xf>
    <xf numFmtId="184" fontId="9" fillId="0" borderId="3" xfId="113" applyNumberFormat="1" applyFont="1" applyFill="1" applyBorder="1" applyAlignment="1">
      <alignment horizontal="right" vertical="center"/>
    </xf>
    <xf numFmtId="3" fontId="9" fillId="0" borderId="3" xfId="113" applyNumberFormat="1" applyFont="1" applyFill="1" applyBorder="1" applyAlignment="1">
      <alignment horizontal="right" vertical="center"/>
    </xf>
    <xf numFmtId="0" fontId="114" fillId="37" borderId="3" xfId="0" applyFont="1" applyFill="1" applyBorder="1" applyAlignment="1">
      <alignment horizontal="center" vertical="top" wrapText="1"/>
    </xf>
    <xf numFmtId="0" fontId="114" fillId="37" borderId="3" xfId="0" applyFont="1" applyFill="1" applyBorder="1" applyAlignment="1">
      <alignment vertical="top" wrapText="1"/>
    </xf>
    <xf numFmtId="3" fontId="114" fillId="37" borderId="3" xfId="0" applyNumberFormat="1" applyFont="1" applyFill="1" applyBorder="1" applyAlignment="1">
      <alignment horizontal="right" wrapText="1"/>
    </xf>
    <xf numFmtId="0" fontId="114" fillId="37" borderId="3" xfId="0" applyFont="1" applyFill="1" applyBorder="1" applyAlignment="1">
      <alignment horizontal="center" wrapText="1"/>
    </xf>
    <xf numFmtId="0" fontId="110" fillId="37" borderId="0" xfId="0" applyFont="1" applyFill="1"/>
    <xf numFmtId="0" fontId="111" fillId="0" borderId="3" xfId="0" applyFont="1" applyBorder="1" applyAlignment="1">
      <alignment horizontal="center" wrapText="1"/>
    </xf>
    <xf numFmtId="182" fontId="117" fillId="0" borderId="3" xfId="107" applyNumberFormat="1" applyFont="1" applyFill="1" applyBorder="1" applyAlignment="1">
      <alignment horizontal="center" vertical="center" wrapText="1"/>
    </xf>
    <xf numFmtId="0" fontId="116" fillId="0" borderId="0" xfId="0" applyFont="1" applyFill="1" applyAlignment="1">
      <alignment horizontal="left" vertical="center" wrapText="1"/>
    </xf>
    <xf numFmtId="0" fontId="117" fillId="0" borderId="3" xfId="0" applyFont="1" applyFill="1" applyBorder="1" applyAlignment="1">
      <alignment horizontal="center" vertical="center" wrapText="1"/>
    </xf>
    <xf numFmtId="0" fontId="114" fillId="38" borderId="3" xfId="0" applyFont="1" applyFill="1" applyBorder="1" applyAlignment="1">
      <alignment horizontal="center" vertical="top" wrapText="1"/>
    </xf>
    <xf numFmtId="0" fontId="114" fillId="38" borderId="3" xfId="0" applyFont="1" applyFill="1" applyBorder="1" applyAlignment="1">
      <alignment vertical="top" wrapText="1"/>
    </xf>
    <xf numFmtId="3" fontId="114" fillId="38" borderId="3" xfId="0" applyNumberFormat="1" applyFont="1" applyFill="1" applyBorder="1" applyAlignment="1">
      <alignment horizontal="right" wrapText="1"/>
    </xf>
    <xf numFmtId="0" fontId="114" fillId="38" borderId="3" xfId="0" applyFont="1" applyFill="1" applyBorder="1" applyAlignment="1">
      <alignment horizontal="center" wrapText="1"/>
    </xf>
    <xf numFmtId="0" fontId="110" fillId="38" borderId="0" xfId="0" applyFont="1" applyFill="1"/>
    <xf numFmtId="0" fontId="130" fillId="39" borderId="3" xfId="0" applyFont="1" applyFill="1" applyBorder="1" applyAlignment="1">
      <alignment vertical="top" wrapText="1"/>
    </xf>
    <xf numFmtId="0" fontId="130" fillId="39" borderId="3" xfId="0" applyFont="1" applyFill="1" applyBorder="1" applyAlignment="1">
      <alignment horizontal="center" vertical="top" wrapText="1"/>
    </xf>
    <xf numFmtId="3" fontId="130" fillId="39" borderId="3" xfId="0" applyNumberFormat="1" applyFont="1" applyFill="1" applyBorder="1" applyAlignment="1">
      <alignment horizontal="right" wrapText="1"/>
    </xf>
    <xf numFmtId="0" fontId="130" fillId="39" borderId="3" xfId="0" applyFont="1" applyFill="1" applyBorder="1" applyAlignment="1">
      <alignment horizontal="center" wrapText="1"/>
    </xf>
    <xf numFmtId="0" fontId="131" fillId="39" borderId="0" xfId="0" applyFont="1" applyFill="1"/>
    <xf numFmtId="0" fontId="32" fillId="0" borderId="0" xfId="0" applyFont="1" applyFill="1" applyAlignment="1">
      <alignment horizontal="left"/>
    </xf>
    <xf numFmtId="0" fontId="3" fillId="2" borderId="0" xfId="0" applyFont="1" applyFill="1"/>
    <xf numFmtId="3" fontId="3" fillId="2" borderId="0" xfId="0" applyNumberFormat="1" applyFont="1" applyFill="1"/>
    <xf numFmtId="0" fontId="3" fillId="2" borderId="0" xfId="0" applyFont="1" applyFill="1" applyAlignment="1">
      <alignment horizontal="left"/>
    </xf>
    <xf numFmtId="184" fontId="3" fillId="2" borderId="0" xfId="107" applyNumberFormat="1" applyFont="1" applyFill="1"/>
    <xf numFmtId="0" fontId="3" fillId="2" borderId="0" xfId="0" applyFont="1" applyFill="1" applyAlignment="1">
      <alignment horizontal="center"/>
    </xf>
    <xf numFmtId="0" fontId="12" fillId="2" borderId="0" xfId="0" applyFont="1" applyFill="1" applyAlignment="1">
      <alignment horizontal="right"/>
    </xf>
    <xf numFmtId="0" fontId="10" fillId="4" borderId="3" xfId="0" applyFont="1" applyFill="1" applyBorder="1" applyAlignment="1">
      <alignment horizontal="center" vertical="center"/>
    </xf>
    <xf numFmtId="0" fontId="10" fillId="4" borderId="3" xfId="0" applyNumberFormat="1" applyFont="1" applyFill="1" applyBorder="1" applyAlignment="1">
      <alignment horizontal="center" vertical="center"/>
    </xf>
    <xf numFmtId="3" fontId="10" fillId="4" borderId="3" xfId="0" applyNumberFormat="1" applyFont="1" applyFill="1" applyBorder="1" applyAlignment="1">
      <alignment horizontal="center" vertical="center"/>
    </xf>
    <xf numFmtId="184" fontId="10" fillId="2" borderId="0" xfId="107" applyNumberFormat="1" applyFont="1" applyFill="1" applyAlignment="1">
      <alignment horizontal="center" vertical="center"/>
    </xf>
    <xf numFmtId="0" fontId="10" fillId="2" borderId="0" xfId="0" applyFont="1" applyFill="1" applyAlignment="1">
      <alignment horizontal="center" vertical="center"/>
    </xf>
    <xf numFmtId="0" fontId="10" fillId="2" borderId="9" xfId="0" applyFont="1" applyFill="1" applyBorder="1" applyAlignment="1">
      <alignment horizontal="center"/>
    </xf>
    <xf numFmtId="0" fontId="10" fillId="2" borderId="9" xfId="0" applyNumberFormat="1" applyFont="1" applyFill="1" applyBorder="1" applyAlignment="1">
      <alignment horizontal="center"/>
    </xf>
    <xf numFmtId="3" fontId="10" fillId="2" borderId="9" xfId="0" applyNumberFormat="1" applyFont="1" applyFill="1" applyBorder="1" applyAlignment="1">
      <alignment horizontal="right"/>
    </xf>
    <xf numFmtId="0" fontId="10" fillId="2" borderId="0" xfId="0" applyFont="1" applyFill="1" applyAlignment="1">
      <alignment horizontal="center"/>
    </xf>
    <xf numFmtId="0" fontId="10" fillId="2" borderId="3" xfId="0" applyFont="1" applyFill="1" applyBorder="1" applyAlignment="1">
      <alignment horizontal="center"/>
    </xf>
    <xf numFmtId="0" fontId="10" fillId="2" borderId="3" xfId="0" applyNumberFormat="1" applyFont="1" applyFill="1" applyBorder="1"/>
    <xf numFmtId="3" fontId="10" fillId="2" borderId="3" xfId="0" applyNumberFormat="1" applyFont="1" applyFill="1" applyBorder="1"/>
    <xf numFmtId="3" fontId="3" fillId="2" borderId="3" xfId="0" applyNumberFormat="1" applyFont="1" applyFill="1" applyBorder="1" applyAlignment="1">
      <alignment horizontal="left" wrapText="1"/>
    </xf>
    <xf numFmtId="3" fontId="10" fillId="2" borderId="0" xfId="0" applyNumberFormat="1" applyFont="1" applyFill="1"/>
    <xf numFmtId="0" fontId="10" fillId="2" borderId="0" xfId="0" applyFont="1" applyFill="1"/>
    <xf numFmtId="0" fontId="3" fillId="2" borderId="3" xfId="0" applyFont="1" applyFill="1" applyBorder="1" applyAlignment="1">
      <alignment horizontal="center"/>
    </xf>
    <xf numFmtId="0" fontId="3" fillId="2" borderId="3" xfId="0" applyFont="1" applyFill="1" applyBorder="1"/>
    <xf numFmtId="3" fontId="3" fillId="2" borderId="3" xfId="0" applyNumberFormat="1" applyFont="1" applyFill="1" applyBorder="1"/>
    <xf numFmtId="3" fontId="26" fillId="2" borderId="0" xfId="0" applyNumberFormat="1" applyFont="1" applyFill="1"/>
    <xf numFmtId="0" fontId="34" fillId="2" borderId="0" xfId="0" applyFont="1" applyFill="1"/>
    <xf numFmtId="3" fontId="34" fillId="2" borderId="0" xfId="0" applyNumberFormat="1" applyFont="1" applyFill="1"/>
    <xf numFmtId="0" fontId="4" fillId="2" borderId="3" xfId="0" applyFont="1" applyFill="1" applyBorder="1" applyAlignment="1">
      <alignment horizontal="left" vertical="center" wrapText="1"/>
    </xf>
    <xf numFmtId="0" fontId="35" fillId="2" borderId="0" xfId="0" applyFont="1" applyFill="1" applyBorder="1"/>
    <xf numFmtId="3" fontId="26" fillId="2" borderId="3" xfId="0" applyNumberFormat="1" applyFont="1" applyFill="1" applyBorder="1"/>
    <xf numFmtId="0" fontId="4" fillId="3" borderId="3" xfId="0" applyFont="1" applyFill="1" applyBorder="1" applyAlignment="1">
      <alignment horizontal="left" vertical="center" wrapText="1"/>
    </xf>
    <xf numFmtId="3" fontId="3" fillId="3" borderId="3" xfId="0" applyNumberFormat="1" applyFont="1" applyFill="1" applyBorder="1"/>
    <xf numFmtId="0" fontId="3" fillId="2" borderId="3" xfId="267" applyNumberFormat="1" applyFont="1" applyFill="1" applyBorder="1" applyAlignment="1">
      <alignment horizontal="left"/>
    </xf>
    <xf numFmtId="0" fontId="5" fillId="3" borderId="3" xfId="0" applyNumberFormat="1" applyFont="1" applyFill="1" applyBorder="1" applyAlignment="1">
      <alignment wrapText="1"/>
    </xf>
    <xf numFmtId="184" fontId="10" fillId="2" borderId="3" xfId="107" applyNumberFormat="1" applyFont="1" applyFill="1" applyBorder="1"/>
    <xf numFmtId="3" fontId="10" fillId="2" borderId="0" xfId="0" applyNumberFormat="1" applyFont="1" applyFill="1" applyBorder="1"/>
    <xf numFmtId="184" fontId="3" fillId="2" borderId="3" xfId="0" applyNumberFormat="1" applyFont="1" applyFill="1" applyBorder="1"/>
    <xf numFmtId="3" fontId="26" fillId="2" borderId="0" xfId="0" applyNumberFormat="1" applyFont="1" applyFill="1" applyBorder="1"/>
    <xf numFmtId="0" fontId="3" fillId="2" borderId="0" xfId="0" applyFont="1" applyFill="1" applyBorder="1"/>
    <xf numFmtId="0" fontId="132" fillId="0" borderId="3" xfId="0" applyFont="1" applyBorder="1" applyAlignment="1">
      <alignment vertical="center" wrapText="1"/>
    </xf>
    <xf numFmtId="3" fontId="12" fillId="2" borderId="3" xfId="0" applyNumberFormat="1" applyFont="1" applyFill="1" applyBorder="1"/>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33" fillId="0" borderId="4" xfId="0" applyFont="1" applyFill="1" applyBorder="1" applyAlignment="1">
      <alignment wrapText="1"/>
    </xf>
    <xf numFmtId="0" fontId="33" fillId="0" borderId="4" xfId="0" applyFont="1" applyFill="1" applyBorder="1"/>
    <xf numFmtId="0" fontId="9" fillId="2" borderId="3" xfId="0" applyFont="1" applyFill="1" applyBorder="1"/>
    <xf numFmtId="0" fontId="13" fillId="0" borderId="4" xfId="271" applyFont="1" applyFill="1" applyBorder="1" applyAlignment="1">
      <alignment wrapText="1"/>
    </xf>
    <xf numFmtId="0" fontId="26" fillId="2" borderId="3" xfId="0" applyFont="1" applyFill="1" applyBorder="1" applyAlignment="1">
      <alignment wrapText="1"/>
    </xf>
    <xf numFmtId="0" fontId="26" fillId="2" borderId="0" xfId="0" applyFont="1" applyFill="1"/>
    <xf numFmtId="0" fontId="26" fillId="2" borderId="3" xfId="0" applyFont="1" applyFill="1" applyBorder="1"/>
    <xf numFmtId="0" fontId="133" fillId="0" borderId="0" xfId="0" applyFont="1"/>
    <xf numFmtId="0" fontId="133" fillId="0" borderId="0" xfId="0" applyFont="1" applyAlignment="1">
      <alignment horizontal="center" vertical="center"/>
    </xf>
    <xf numFmtId="0" fontId="133" fillId="0" borderId="0" xfId="0" applyFont="1" applyAlignment="1">
      <alignment horizontal="center" vertical="center" wrapText="1"/>
    </xf>
    <xf numFmtId="0" fontId="134" fillId="0" borderId="3" xfId="0" applyFont="1" applyBorder="1" applyAlignment="1">
      <alignment horizontal="center" vertical="center" wrapText="1"/>
    </xf>
    <xf numFmtId="0" fontId="134" fillId="0" borderId="3" xfId="0" applyFont="1" applyBorder="1" applyAlignment="1">
      <alignment horizontal="center" vertical="center"/>
    </xf>
    <xf numFmtId="0" fontId="134" fillId="0" borderId="3" xfId="0" applyFont="1" applyBorder="1"/>
    <xf numFmtId="181" fontId="134" fillId="0" borderId="3" xfId="107" applyNumberFormat="1" applyFont="1" applyBorder="1"/>
    <xf numFmtId="0" fontId="134" fillId="0" borderId="0" xfId="0" applyFont="1"/>
    <xf numFmtId="0" fontId="135" fillId="0" borderId="3" xfId="0" applyFont="1" applyBorder="1" applyAlignment="1">
      <alignment horizontal="center" vertical="center"/>
    </xf>
    <xf numFmtId="0" fontId="135" fillId="0" borderId="3" xfId="0" applyFont="1" applyBorder="1" applyAlignment="1">
      <alignment horizontal="justify" vertical="justify"/>
    </xf>
    <xf numFmtId="181" fontId="135" fillId="0" borderId="3" xfId="107" applyNumberFormat="1" applyFont="1" applyBorder="1"/>
    <xf numFmtId="0" fontId="135" fillId="0" borderId="3" xfId="0" applyFont="1" applyBorder="1"/>
    <xf numFmtId="0" fontId="135" fillId="0" borderId="0" xfId="0" applyFont="1"/>
    <xf numFmtId="0" fontId="133" fillId="0" borderId="3" xfId="0" quotePrefix="1" applyFont="1" applyBorder="1" applyAlignment="1">
      <alignment horizontal="center" vertical="center"/>
    </xf>
    <xf numFmtId="0" fontId="133" fillId="0" borderId="3" xfId="0" applyFont="1" applyBorder="1" applyAlignment="1">
      <alignment horizontal="justify" vertical="justify"/>
    </xf>
    <xf numFmtId="181" fontId="133" fillId="0" borderId="3" xfId="107" applyNumberFormat="1" applyFont="1" applyBorder="1"/>
    <xf numFmtId="0" fontId="133" fillId="0" borderId="3" xfId="0" applyFont="1" applyBorder="1"/>
    <xf numFmtId="181" fontId="135" fillId="37" borderId="3" xfId="107" applyNumberFormat="1" applyFont="1" applyFill="1" applyBorder="1"/>
    <xf numFmtId="0" fontId="134" fillId="0" borderId="3" xfId="0" applyFont="1" applyBorder="1" applyAlignment="1">
      <alignment horizontal="justify" vertical="justify"/>
    </xf>
    <xf numFmtId="173" fontId="134" fillId="0" borderId="3" xfId="0" applyNumberFormat="1" applyFont="1" applyBorder="1"/>
    <xf numFmtId="0" fontId="133" fillId="0" borderId="3" xfId="0" applyFont="1" applyBorder="1" applyAlignment="1">
      <alignment horizontal="center" vertical="center"/>
    </xf>
    <xf numFmtId="173" fontId="133" fillId="0" borderId="3" xfId="107" applyNumberFormat="1" applyFont="1" applyBorder="1"/>
    <xf numFmtId="0" fontId="111" fillId="0" borderId="3" xfId="0" applyFont="1" applyBorder="1" applyAlignment="1">
      <alignment horizontal="center" vertical="center" wrapText="1"/>
    </xf>
    <xf numFmtId="0" fontId="136" fillId="0" borderId="3" xfId="0" applyFont="1" applyBorder="1" applyAlignment="1">
      <alignment horizontal="center" vertical="center" wrapText="1"/>
    </xf>
    <xf numFmtId="0" fontId="132" fillId="0" borderId="0" xfId="0" applyFont="1" applyAlignment="1">
      <alignment vertical="center"/>
    </xf>
    <xf numFmtId="0" fontId="137" fillId="0" borderId="0" xfId="0" applyFont="1" applyAlignment="1">
      <alignment vertical="center"/>
    </xf>
    <xf numFmtId="0" fontId="138" fillId="0" borderId="0" xfId="0" applyFont="1" applyAlignment="1">
      <alignment vertical="center"/>
    </xf>
    <xf numFmtId="3" fontId="139" fillId="0" borderId="3" xfId="0" applyNumberFormat="1" applyFont="1" applyBorder="1" applyAlignment="1">
      <alignment vertical="center" wrapText="1"/>
    </xf>
    <xf numFmtId="9" fontId="139" fillId="0" borderId="3" xfId="284" applyFont="1" applyBorder="1" applyAlignment="1">
      <alignment horizontal="center" vertical="center" wrapText="1"/>
    </xf>
    <xf numFmtId="0" fontId="140" fillId="0" borderId="0" xfId="0" applyFont="1" applyAlignment="1">
      <alignment vertical="center"/>
    </xf>
    <xf numFmtId="0" fontId="132" fillId="0" borderId="0" xfId="0" applyFont="1" applyFill="1" applyAlignment="1">
      <alignment vertical="center"/>
    </xf>
    <xf numFmtId="0" fontId="136" fillId="0" borderId="0" xfId="0" applyFont="1" applyFill="1" applyAlignment="1">
      <alignment horizontal="right" vertical="center"/>
    </xf>
    <xf numFmtId="9" fontId="132" fillId="0" borderId="0" xfId="284" applyFont="1" applyFill="1" applyAlignment="1">
      <alignment vertical="center"/>
    </xf>
    <xf numFmtId="0" fontId="141" fillId="0" borderId="0" xfId="0" applyFont="1" applyFill="1" applyAlignment="1">
      <alignment horizontal="right" vertical="center"/>
    </xf>
    <xf numFmtId="9" fontId="136" fillId="0" borderId="3" xfId="284" applyFont="1" applyFill="1" applyBorder="1" applyAlignment="1">
      <alignment horizontal="center" vertical="center" wrapText="1"/>
    </xf>
    <xf numFmtId="0" fontId="140" fillId="0" borderId="0" xfId="0" applyFont="1" applyFill="1" applyAlignment="1">
      <alignment vertical="center"/>
    </xf>
    <xf numFmtId="9" fontId="137" fillId="0" borderId="0" xfId="284" applyFont="1" applyFill="1" applyAlignment="1">
      <alignment vertical="center"/>
    </xf>
    <xf numFmtId="0" fontId="114" fillId="0" borderId="0" xfId="0" applyFont="1" applyAlignment="1">
      <alignment vertical="center"/>
    </xf>
    <xf numFmtId="0" fontId="110" fillId="0" borderId="0" xfId="0" applyFont="1" applyAlignment="1">
      <alignment vertical="center"/>
    </xf>
    <xf numFmtId="0" fontId="111" fillId="0" borderId="3" xfId="0" applyFont="1" applyBorder="1" applyAlignment="1">
      <alignment vertical="center" wrapText="1"/>
    </xf>
    <xf numFmtId="3" fontId="114" fillId="0" borderId="3" xfId="0" applyNumberFormat="1" applyFont="1" applyBorder="1" applyAlignment="1">
      <alignment horizontal="right" vertical="center" wrapText="1"/>
    </xf>
    <xf numFmtId="0" fontId="114" fillId="0" borderId="3" xfId="0" applyFont="1" applyBorder="1" applyAlignment="1">
      <alignment horizontal="right" vertical="center" wrapText="1"/>
    </xf>
    <xf numFmtId="0" fontId="114" fillId="0" borderId="3" xfId="0" applyFont="1" applyBorder="1" applyAlignment="1">
      <alignment horizontal="center" vertical="center" wrapText="1"/>
    </xf>
    <xf numFmtId="0" fontId="142" fillId="0" borderId="0" xfId="0" applyFont="1" applyAlignment="1">
      <alignment vertical="center"/>
    </xf>
    <xf numFmtId="0" fontId="143" fillId="0" borderId="0" xfId="0" applyFont="1" applyAlignment="1">
      <alignment horizontal="right" vertical="center"/>
    </xf>
    <xf numFmtId="0" fontId="144" fillId="0" borderId="3" xfId="0" applyFont="1" applyBorder="1" applyAlignment="1">
      <alignment vertical="center" wrapText="1"/>
    </xf>
    <xf numFmtId="3" fontId="144" fillId="0" borderId="3" xfId="0" applyNumberFormat="1" applyFont="1" applyBorder="1" applyAlignment="1">
      <alignment vertical="center" wrapText="1"/>
    </xf>
    <xf numFmtId="9" fontId="144" fillId="0" borderId="3" xfId="284" applyFont="1" applyBorder="1" applyAlignment="1">
      <alignment vertical="center" wrapText="1"/>
    </xf>
    <xf numFmtId="0" fontId="139" fillId="0" borderId="3" xfId="0" applyFont="1" applyBorder="1" applyAlignment="1">
      <alignment horizontal="center" vertical="center" wrapText="1"/>
    </xf>
    <xf numFmtId="0" fontId="145" fillId="0" borderId="0" xfId="0" applyFont="1" applyAlignment="1">
      <alignment vertical="center"/>
    </xf>
    <xf numFmtId="0" fontId="139" fillId="0" borderId="3" xfId="0" applyFont="1" applyBorder="1" applyAlignment="1">
      <alignment vertical="center" wrapText="1"/>
    </xf>
    <xf numFmtId="9" fontId="144" fillId="0" borderId="3" xfId="284" applyFont="1" applyBorder="1" applyAlignment="1">
      <alignment horizontal="center" vertical="center" wrapText="1"/>
    </xf>
    <xf numFmtId="3" fontId="145" fillId="0" borderId="0" xfId="0" applyNumberFormat="1" applyFont="1" applyAlignment="1">
      <alignment vertical="center"/>
    </xf>
    <xf numFmtId="3" fontId="137" fillId="0" borderId="0" xfId="0" applyNumberFormat="1" applyFont="1" applyAlignment="1">
      <alignment vertical="center"/>
    </xf>
    <xf numFmtId="0" fontId="143" fillId="0" borderId="0" xfId="0" applyFont="1" applyAlignment="1">
      <alignment vertical="center"/>
    </xf>
    <xf numFmtId="0" fontId="143" fillId="0" borderId="3" xfId="0" applyFont="1" applyBorder="1" applyAlignment="1">
      <alignment horizontal="center" vertical="center" wrapText="1"/>
    </xf>
    <xf numFmtId="0" fontId="111" fillId="0" borderId="3" xfId="0" applyFont="1" applyFill="1" applyBorder="1" applyAlignment="1">
      <alignment vertical="center" wrapText="1"/>
    </xf>
    <xf numFmtId="0" fontId="114" fillId="0" borderId="3" xfId="0" applyFont="1" applyFill="1" applyBorder="1" applyAlignment="1">
      <alignment vertical="center" wrapText="1"/>
    </xf>
    <xf numFmtId="0" fontId="114" fillId="0" borderId="3" xfId="0" applyFont="1" applyBorder="1" applyAlignment="1">
      <alignment horizontal="left" vertical="center" wrapText="1"/>
    </xf>
    <xf numFmtId="0" fontId="146" fillId="0" borderId="0" xfId="0" applyFont="1" applyAlignment="1">
      <alignment vertical="center"/>
    </xf>
    <xf numFmtId="0" fontId="147" fillId="0" borderId="0" xfId="0" applyFont="1" applyAlignment="1">
      <alignment vertical="center"/>
    </xf>
    <xf numFmtId="0" fontId="148" fillId="0" borderId="0" xfId="0" applyFont="1" applyAlignment="1">
      <alignment horizontal="right" vertical="center"/>
    </xf>
    <xf numFmtId="0" fontId="112" fillId="0" borderId="0" xfId="0" applyFont="1" applyBorder="1" applyAlignment="1">
      <alignment horizontal="right" vertical="center"/>
    </xf>
    <xf numFmtId="0" fontId="112" fillId="0" borderId="0" xfId="0" applyFont="1" applyBorder="1" applyAlignment="1">
      <alignment vertical="center"/>
    </xf>
    <xf numFmtId="0" fontId="149" fillId="0" borderId="0" xfId="0" applyFont="1" applyAlignment="1">
      <alignment vertical="center"/>
    </xf>
    <xf numFmtId="3" fontId="111" fillId="0" borderId="3" xfId="0" applyNumberFormat="1" applyFont="1" applyBorder="1" applyAlignment="1">
      <alignment vertical="center" wrapText="1"/>
    </xf>
    <xf numFmtId="3" fontId="114" fillId="0" borderId="3" xfId="0" applyNumberFormat="1" applyFont="1" applyBorder="1" applyAlignment="1">
      <alignment vertical="center" wrapText="1"/>
    </xf>
    <xf numFmtId="0" fontId="115" fillId="0" borderId="3" xfId="0" applyFont="1" applyBorder="1" applyAlignment="1">
      <alignment horizontal="center" vertical="center" wrapText="1"/>
    </xf>
    <xf numFmtId="0" fontId="144" fillId="0" borderId="3" xfId="0" applyFont="1" applyBorder="1" applyAlignment="1">
      <alignment horizontal="center" vertical="center" wrapText="1"/>
    </xf>
    <xf numFmtId="0" fontId="136" fillId="0" borderId="0" xfId="0" applyFont="1" applyAlignment="1">
      <alignment horizontal="right" vertical="center"/>
    </xf>
    <xf numFmtId="0" fontId="141" fillId="0" borderId="0" xfId="0" applyFont="1" applyAlignment="1">
      <alignment horizontal="right" vertical="center"/>
    </xf>
    <xf numFmtId="0" fontId="3" fillId="38" borderId="3" xfId="199" applyFont="1" applyFill="1" applyBorder="1" applyAlignment="1">
      <alignment horizontal="center" vertical="center" wrapText="1"/>
    </xf>
    <xf numFmtId="0" fontId="3" fillId="38" borderId="3" xfId="199" applyFont="1" applyFill="1" applyBorder="1" applyAlignment="1">
      <alignment vertical="center" wrapText="1"/>
    </xf>
    <xf numFmtId="181" fontId="3" fillId="38" borderId="3" xfId="115" applyNumberFormat="1" applyFont="1" applyFill="1" applyBorder="1" applyAlignment="1">
      <alignment horizontal="right" vertical="center" wrapText="1"/>
    </xf>
    <xf numFmtId="181" fontId="3" fillId="0" borderId="3" xfId="115" applyNumberFormat="1" applyFont="1" applyBorder="1" applyAlignment="1">
      <alignment horizontal="right" vertical="center" wrapText="1"/>
    </xf>
    <xf numFmtId="181" fontId="150" fillId="38" borderId="3" xfId="115" applyNumberFormat="1" applyFont="1" applyFill="1" applyBorder="1" applyAlignment="1">
      <alignment horizontal="right" vertical="center" wrapText="1"/>
    </xf>
    <xf numFmtId="0" fontId="10" fillId="38" borderId="3" xfId="199" applyFont="1" applyFill="1" applyBorder="1" applyAlignment="1">
      <alignment horizontal="center" vertical="center" wrapText="1"/>
    </xf>
    <xf numFmtId="181" fontId="10" fillId="38" borderId="3" xfId="115" applyNumberFormat="1" applyFont="1" applyFill="1" applyBorder="1" applyAlignment="1">
      <alignment horizontal="right" vertical="center" wrapText="1"/>
    </xf>
    <xf numFmtId="181" fontId="3" fillId="37" borderId="3" xfId="115" applyNumberFormat="1" applyFont="1" applyFill="1" applyBorder="1" applyAlignment="1">
      <alignment horizontal="right" vertical="center" wrapText="1"/>
    </xf>
    <xf numFmtId="3" fontId="10" fillId="0" borderId="3" xfId="199" applyNumberFormat="1" applyFont="1" applyBorder="1" applyAlignment="1">
      <alignment vertical="center"/>
    </xf>
    <xf numFmtId="9" fontId="10" fillId="0" borderId="3" xfId="284" applyFont="1" applyBorder="1" applyAlignment="1">
      <alignment vertical="center"/>
    </xf>
    <xf numFmtId="0" fontId="10" fillId="0" borderId="3" xfId="199" applyFont="1" applyBorder="1" applyAlignment="1">
      <alignment horizontal="center" vertical="center"/>
    </xf>
    <xf numFmtId="0" fontId="3" fillId="0" borderId="3" xfId="199" applyFont="1" applyBorder="1" applyAlignment="1">
      <alignment vertical="center" wrapText="1"/>
    </xf>
    <xf numFmtId="3" fontId="3" fillId="0" borderId="3" xfId="199" applyNumberFormat="1" applyFont="1" applyBorder="1" applyAlignment="1">
      <alignment vertical="center"/>
    </xf>
    <xf numFmtId="9" fontId="3" fillId="0" borderId="3" xfId="284" applyFont="1" applyBorder="1" applyAlignment="1">
      <alignment vertical="center"/>
    </xf>
    <xf numFmtId="3" fontId="3" fillId="0" borderId="3" xfId="199" applyNumberFormat="1" applyFont="1" applyBorder="1" applyAlignment="1">
      <alignment horizontal="center" vertical="center" wrapText="1"/>
    </xf>
    <xf numFmtId="0" fontId="3" fillId="0" borderId="3" xfId="199" applyFont="1" applyBorder="1" applyAlignment="1">
      <alignment horizontal="center" vertical="center"/>
    </xf>
    <xf numFmtId="3" fontId="10" fillId="0" borderId="3" xfId="115" applyNumberFormat="1" applyFont="1" applyBorder="1" applyAlignment="1">
      <alignment vertical="center"/>
    </xf>
    <xf numFmtId="188" fontId="10" fillId="0" borderId="3" xfId="199" applyNumberFormat="1" applyFont="1" applyFill="1" applyBorder="1" applyAlignment="1">
      <alignment horizontal="center" vertical="center" wrapText="1"/>
    </xf>
    <xf numFmtId="188" fontId="10" fillId="0" borderId="3" xfId="199" applyNumberFormat="1" applyFont="1" applyFill="1" applyBorder="1" applyAlignment="1">
      <alignment vertical="center" wrapText="1"/>
    </xf>
    <xf numFmtId="189" fontId="10" fillId="0" borderId="3" xfId="199" applyNumberFormat="1" applyFont="1" applyFill="1" applyBorder="1" applyAlignment="1">
      <alignment vertical="center" wrapText="1"/>
    </xf>
    <xf numFmtId="188" fontId="3" fillId="0" borderId="3" xfId="199" applyNumberFormat="1" applyFont="1" applyFill="1" applyBorder="1" applyAlignment="1">
      <alignment horizontal="center" vertical="center"/>
    </xf>
    <xf numFmtId="188" fontId="3" fillId="0" borderId="3" xfId="199" applyNumberFormat="1" applyFont="1" applyFill="1" applyBorder="1" applyAlignment="1">
      <alignment vertical="center"/>
    </xf>
    <xf numFmtId="189" fontId="3" fillId="0" borderId="3" xfId="199" applyNumberFormat="1" applyFont="1" applyFill="1" applyBorder="1" applyAlignment="1">
      <alignment vertical="center"/>
    </xf>
    <xf numFmtId="190" fontId="3" fillId="0" borderId="3" xfId="199" applyNumberFormat="1" applyFont="1" applyFill="1" applyBorder="1" applyAlignment="1">
      <alignment vertical="center"/>
    </xf>
    <xf numFmtId="3" fontId="10" fillId="0" borderId="3" xfId="199" applyNumberFormat="1" applyFont="1" applyFill="1" applyBorder="1" applyAlignment="1">
      <alignment vertical="center" wrapText="1"/>
    </xf>
    <xf numFmtId="0" fontId="3" fillId="0" borderId="3" xfId="199" applyFont="1" applyFill="1" applyBorder="1" applyAlignment="1">
      <alignment horizontal="center" vertical="center"/>
    </xf>
    <xf numFmtId="3" fontId="3" fillId="0" borderId="3" xfId="199" applyNumberFormat="1" applyFont="1" applyFill="1" applyBorder="1" applyAlignment="1">
      <alignment vertical="center" wrapText="1"/>
    </xf>
    <xf numFmtId="3" fontId="3" fillId="0" borderId="3" xfId="199" applyNumberFormat="1" applyFont="1" applyFill="1" applyBorder="1" applyAlignment="1">
      <alignment vertical="center"/>
    </xf>
    <xf numFmtId="0" fontId="10" fillId="0" borderId="3" xfId="199" applyFont="1" applyBorder="1" applyAlignment="1">
      <alignment vertical="center" wrapText="1"/>
    </xf>
    <xf numFmtId="3" fontId="3" fillId="38" borderId="3" xfId="0" applyNumberFormat="1" applyFont="1" applyFill="1" applyBorder="1" applyAlignment="1">
      <alignment vertical="center"/>
    </xf>
    <xf numFmtId="0" fontId="3" fillId="38" borderId="3" xfId="0" applyFont="1" applyFill="1" applyBorder="1" applyAlignment="1">
      <alignment vertical="center" wrapText="1"/>
    </xf>
    <xf numFmtId="0" fontId="10" fillId="0" borderId="3" xfId="199" applyFont="1" applyBorder="1" applyAlignment="1">
      <alignment horizontal="left" vertical="center"/>
    </xf>
    <xf numFmtId="0" fontId="3" fillId="0" borderId="3" xfId="199" applyFont="1" applyBorder="1" applyAlignment="1">
      <alignment horizontal="left" vertical="center"/>
    </xf>
    <xf numFmtId="9" fontId="3" fillId="0" borderId="3" xfId="285" applyFont="1" applyBorder="1" applyAlignment="1">
      <alignment vertical="center"/>
    </xf>
    <xf numFmtId="0" fontId="151" fillId="0" borderId="3" xfId="0" applyFont="1" applyBorder="1" applyAlignment="1">
      <alignment vertical="center" wrapText="1"/>
    </xf>
    <xf numFmtId="0" fontId="111" fillId="0" borderId="3" xfId="0" applyFont="1" applyBorder="1" applyAlignment="1">
      <alignment horizontal="center" wrapText="1"/>
    </xf>
    <xf numFmtId="0" fontId="111" fillId="0" borderId="3" xfId="0" applyFont="1" applyBorder="1" applyAlignment="1">
      <alignment horizontal="center" vertical="center" wrapText="1"/>
    </xf>
    <xf numFmtId="3" fontId="152" fillId="0" borderId="0" xfId="0" applyNumberFormat="1" applyFont="1" applyAlignment="1">
      <alignment vertical="center"/>
    </xf>
    <xf numFmtId="0" fontId="153" fillId="0" borderId="0" xfId="0" applyFont="1"/>
    <xf numFmtId="181" fontId="153" fillId="0" borderId="0" xfId="0" applyNumberFormat="1" applyFont="1"/>
    <xf numFmtId="0" fontId="154" fillId="0" borderId="10" xfId="271" applyFont="1" applyFill="1" applyBorder="1" applyAlignment="1">
      <alignment horizontal="center"/>
    </xf>
    <xf numFmtId="0" fontId="154" fillId="0" borderId="3" xfId="271" applyNumberFormat="1" applyFont="1" applyFill="1" applyBorder="1" applyAlignment="1">
      <alignment wrapText="1"/>
    </xf>
    <xf numFmtId="3" fontId="154" fillId="0" borderId="10" xfId="0" applyNumberFormat="1" applyFont="1" applyFill="1" applyBorder="1" applyAlignment="1">
      <alignment horizontal="center" vertical="center" wrapText="1"/>
    </xf>
    <xf numFmtId="3" fontId="154" fillId="0" borderId="3" xfId="0" applyNumberFormat="1" applyFont="1" applyFill="1" applyBorder="1" applyAlignment="1">
      <alignment vertical="center" wrapText="1"/>
    </xf>
    <xf numFmtId="3" fontId="154" fillId="0" borderId="3" xfId="0" applyNumberFormat="1" applyFont="1" applyFill="1" applyBorder="1" applyAlignment="1">
      <alignment horizontal="right" vertical="center" wrapText="1"/>
    </xf>
    <xf numFmtId="0" fontId="155" fillId="0" borderId="0" xfId="0" applyFont="1"/>
    <xf numFmtId="3" fontId="156" fillId="0" borderId="10" xfId="0" applyNumberFormat="1" applyFont="1" applyFill="1" applyBorder="1" applyAlignment="1">
      <alignment horizontal="center" vertical="center" wrapText="1"/>
    </xf>
    <xf numFmtId="3" fontId="156" fillId="0" borderId="3" xfId="0" applyNumberFormat="1" applyFont="1" applyFill="1" applyBorder="1" applyAlignment="1">
      <alignment vertical="center" wrapText="1"/>
    </xf>
    <xf numFmtId="0" fontId="156" fillId="0" borderId="3" xfId="0" applyFont="1" applyFill="1" applyBorder="1" applyAlignment="1">
      <alignment vertical="center" wrapText="1"/>
    </xf>
    <xf numFmtId="1" fontId="156" fillId="0" borderId="3" xfId="0" applyNumberFormat="1" applyFont="1" applyFill="1" applyBorder="1" applyAlignment="1">
      <alignment vertical="center" wrapText="1"/>
    </xf>
    <xf numFmtId="0" fontId="111" fillId="0" borderId="10" xfId="0" applyFont="1" applyFill="1" applyBorder="1" applyAlignment="1">
      <alignment horizontal="center" vertical="center" wrapText="1"/>
    </xf>
    <xf numFmtId="49" fontId="156" fillId="0" borderId="3" xfId="0" applyNumberFormat="1" applyFont="1" applyFill="1" applyBorder="1" applyAlignment="1">
      <alignment horizontal="left" vertical="center" wrapText="1"/>
    </xf>
    <xf numFmtId="0" fontId="156" fillId="0" borderId="10" xfId="0" applyFont="1" applyFill="1" applyBorder="1" applyAlignment="1">
      <alignment horizontal="center"/>
    </xf>
    <xf numFmtId="0" fontId="156" fillId="0" borderId="3" xfId="0" applyNumberFormat="1" applyFont="1" applyFill="1" applyBorder="1" applyAlignment="1">
      <alignment vertical="center" wrapText="1"/>
    </xf>
    <xf numFmtId="0" fontId="156" fillId="0" borderId="3" xfId="0" applyNumberFormat="1" applyFont="1" applyFill="1" applyBorder="1" applyAlignment="1">
      <alignment wrapText="1"/>
    </xf>
    <xf numFmtId="0" fontId="154" fillId="0" borderId="10" xfId="0" applyFont="1" applyFill="1" applyBorder="1" applyAlignment="1">
      <alignment horizontal="center" vertical="center"/>
    </xf>
    <xf numFmtId="0" fontId="154" fillId="0" borderId="3" xfId="0" applyNumberFormat="1" applyFont="1" applyFill="1" applyBorder="1" applyAlignment="1">
      <alignment vertical="center" wrapText="1"/>
    </xf>
    <xf numFmtId="0" fontId="37" fillId="0" borderId="3" xfId="0" applyNumberFormat="1" applyFont="1" applyFill="1" applyBorder="1" applyAlignment="1">
      <alignment wrapText="1"/>
    </xf>
    <xf numFmtId="0" fontId="154" fillId="0" borderId="10" xfId="0" applyFont="1" applyFill="1" applyBorder="1" applyAlignment="1">
      <alignment horizontal="center"/>
    </xf>
    <xf numFmtId="0" fontId="37" fillId="0" borderId="3" xfId="0" applyNumberFormat="1" applyFont="1" applyFill="1" applyBorder="1" applyAlignment="1">
      <alignment vertical="center" wrapText="1"/>
    </xf>
    <xf numFmtId="0" fontId="154" fillId="0" borderId="10" xfId="0" applyFont="1" applyFill="1" applyBorder="1" applyAlignment="1">
      <alignment horizontal="center" wrapText="1"/>
    </xf>
    <xf numFmtId="0" fontId="156" fillId="0" borderId="3" xfId="0" applyFont="1" applyFill="1" applyBorder="1" applyAlignment="1">
      <alignment horizontal="left" vertical="center" wrapText="1"/>
    </xf>
    <xf numFmtId="3" fontId="157" fillId="0" borderId="10" xfId="0" applyNumberFormat="1" applyFont="1" applyFill="1" applyBorder="1" applyAlignment="1">
      <alignment horizontal="center" vertical="center" wrapText="1"/>
    </xf>
    <xf numFmtId="3" fontId="157" fillId="0" borderId="3" xfId="0" applyNumberFormat="1" applyFont="1" applyFill="1" applyBorder="1" applyAlignment="1">
      <alignment vertical="center" wrapText="1"/>
    </xf>
    <xf numFmtId="188" fontId="156" fillId="0" borderId="3" xfId="0" applyNumberFormat="1" applyFont="1" applyFill="1" applyBorder="1" applyAlignment="1">
      <alignment wrapText="1"/>
    </xf>
    <xf numFmtId="190" fontId="156" fillId="0" borderId="3" xfId="0" applyNumberFormat="1" applyFont="1" applyFill="1" applyBorder="1" applyAlignment="1">
      <alignment vertical="center" wrapText="1"/>
    </xf>
    <xf numFmtId="190" fontId="156" fillId="0" borderId="3" xfId="0" applyNumberFormat="1" applyFont="1" applyFill="1" applyBorder="1" applyAlignment="1">
      <alignment wrapText="1"/>
    </xf>
    <xf numFmtId="0" fontId="158" fillId="0" borderId="0" xfId="0" applyFont="1"/>
    <xf numFmtId="49" fontId="157" fillId="0" borderId="3" xfId="0" applyNumberFormat="1" applyFont="1" applyFill="1" applyBorder="1" applyAlignment="1">
      <alignment horizontal="left" vertical="center" wrapText="1"/>
    </xf>
    <xf numFmtId="3" fontId="159" fillId="0" borderId="10" xfId="0" applyNumberFormat="1" applyFont="1" applyFill="1" applyBorder="1" applyAlignment="1">
      <alignment horizontal="center" vertical="center" wrapText="1"/>
    </xf>
    <xf numFmtId="3" fontId="159" fillId="0" borderId="3" xfId="0" applyNumberFormat="1" applyFont="1" applyFill="1" applyBorder="1" applyAlignment="1">
      <alignment vertical="center" wrapText="1"/>
    </xf>
    <xf numFmtId="0" fontId="157" fillId="0" borderId="3" xfId="0" applyFont="1" applyFill="1" applyBorder="1" applyAlignment="1">
      <alignment vertical="center" wrapText="1"/>
    </xf>
    <xf numFmtId="188" fontId="157" fillId="0" borderId="3" xfId="0" applyNumberFormat="1" applyFont="1" applyFill="1" applyBorder="1" applyAlignment="1">
      <alignment wrapText="1"/>
    </xf>
    <xf numFmtId="181" fontId="111" fillId="0" borderId="3" xfId="107" applyNumberFormat="1" applyFont="1" applyBorder="1" applyAlignment="1">
      <alignment horizontal="right" wrapText="1"/>
    </xf>
    <xf numFmtId="0" fontId="114" fillId="0" borderId="10" xfId="0" applyFont="1" applyFill="1" applyBorder="1" applyAlignment="1">
      <alignment horizontal="center" vertical="center" wrapText="1"/>
    </xf>
    <xf numFmtId="181" fontId="37" fillId="0" borderId="3" xfId="107" applyNumberFormat="1" applyFont="1" applyFill="1" applyBorder="1" applyAlignment="1">
      <alignment vertical="center" wrapText="1"/>
    </xf>
    <xf numFmtId="181" fontId="156" fillId="0" borderId="3" xfId="107" applyNumberFormat="1" applyFont="1" applyFill="1" applyBorder="1" applyAlignment="1">
      <alignment horizontal="left" vertical="center" wrapText="1"/>
    </xf>
    <xf numFmtId="0" fontId="154" fillId="0" borderId="3" xfId="0" applyFont="1" applyFill="1" applyBorder="1" applyAlignment="1">
      <alignment horizontal="left" vertical="center" wrapText="1"/>
    </xf>
    <xf numFmtId="0" fontId="156" fillId="0" borderId="3" xfId="0" applyFont="1" applyFill="1" applyBorder="1" applyAlignment="1">
      <alignment wrapText="1"/>
    </xf>
    <xf numFmtId="0" fontId="159" fillId="0" borderId="10" xfId="0" applyFont="1" applyFill="1" applyBorder="1" applyAlignment="1">
      <alignment horizontal="center"/>
    </xf>
    <xf numFmtId="0" fontId="159" fillId="0" borderId="3" xfId="0" applyFont="1" applyFill="1" applyBorder="1" applyAlignment="1">
      <alignment horizontal="left" vertical="center" wrapText="1"/>
    </xf>
    <xf numFmtId="0" fontId="156" fillId="0" borderId="10" xfId="0" applyFont="1" applyFill="1" applyBorder="1" applyAlignment="1">
      <alignment horizontal="center" vertical="center"/>
    </xf>
    <xf numFmtId="0" fontId="154" fillId="0" borderId="3" xfId="0" applyFont="1" applyFill="1" applyBorder="1" applyAlignment="1">
      <alignment vertical="center" wrapText="1"/>
    </xf>
    <xf numFmtId="0" fontId="154" fillId="0" borderId="3" xfId="0" applyFont="1" applyFill="1" applyBorder="1" applyAlignment="1">
      <alignment wrapText="1"/>
    </xf>
    <xf numFmtId="0" fontId="37" fillId="0" borderId="10" xfId="0" applyFont="1" applyFill="1" applyBorder="1"/>
    <xf numFmtId="0" fontId="37" fillId="0" borderId="3" xfId="0" applyFont="1" applyFill="1" applyBorder="1"/>
    <xf numFmtId="0" fontId="156" fillId="0" borderId="10" xfId="271" applyFont="1" applyFill="1" applyBorder="1" applyAlignment="1">
      <alignment horizontal="center" vertical="center"/>
    </xf>
    <xf numFmtId="0" fontId="156" fillId="0" borderId="3" xfId="271" applyFont="1" applyFill="1" applyBorder="1" applyAlignment="1">
      <alignment vertical="center" wrapText="1"/>
    </xf>
    <xf numFmtId="0" fontId="154" fillId="0" borderId="10" xfId="271" applyFont="1" applyFill="1" applyBorder="1" applyAlignment="1">
      <alignment horizontal="center" vertical="center"/>
    </xf>
    <xf numFmtId="0" fontId="154" fillId="0" borderId="3" xfId="271" applyFont="1" applyFill="1" applyBorder="1" applyAlignment="1">
      <alignment vertical="center" wrapText="1"/>
    </xf>
    <xf numFmtId="0" fontId="156" fillId="0" borderId="9" xfId="271" applyFont="1" applyFill="1" applyBorder="1" applyAlignment="1">
      <alignment vertical="center" wrapText="1"/>
    </xf>
    <xf numFmtId="0" fontId="111" fillId="0" borderId="3" xfId="0" applyFont="1" applyBorder="1" applyAlignment="1">
      <alignment horizontal="right" vertical="center" wrapText="1"/>
    </xf>
    <xf numFmtId="181" fontId="111" fillId="0" borderId="3" xfId="107" applyNumberFormat="1" applyFont="1" applyBorder="1" applyAlignment="1">
      <alignment horizontal="right" vertical="center" wrapText="1"/>
    </xf>
    <xf numFmtId="181" fontId="153" fillId="0" borderId="3" xfId="0" applyNumberFormat="1" applyFont="1" applyBorder="1" applyAlignment="1">
      <alignment horizontal="right" vertical="center"/>
    </xf>
    <xf numFmtId="3" fontId="111" fillId="0" borderId="3" xfId="0" applyNumberFormat="1" applyFont="1" applyBorder="1" applyAlignment="1">
      <alignment horizontal="right" vertical="center" wrapText="1"/>
    </xf>
    <xf numFmtId="181" fontId="114" fillId="0" borderId="3" xfId="107" applyNumberFormat="1" applyFont="1" applyBorder="1" applyAlignment="1">
      <alignment horizontal="right" vertical="center" wrapText="1"/>
    </xf>
    <xf numFmtId="181" fontId="113" fillId="0" borderId="3" xfId="107" applyNumberFormat="1" applyFont="1" applyBorder="1" applyAlignment="1">
      <alignment horizontal="right" vertical="center" wrapText="1"/>
    </xf>
    <xf numFmtId="0" fontId="113" fillId="0" borderId="3" xfId="0" applyFont="1" applyBorder="1" applyAlignment="1">
      <alignment horizontal="right" vertical="center" wrapText="1"/>
    </xf>
    <xf numFmtId="3" fontId="113" fillId="0" borderId="3" xfId="0" applyNumberFormat="1" applyFont="1" applyBorder="1" applyAlignment="1">
      <alignment horizontal="right" vertical="center" wrapText="1"/>
    </xf>
    <xf numFmtId="3" fontId="160" fillId="0" borderId="3" xfId="0" applyNumberFormat="1" applyFont="1" applyFill="1" applyBorder="1" applyAlignment="1">
      <alignment horizontal="right" vertical="center" wrapText="1"/>
    </xf>
    <xf numFmtId="181" fontId="148" fillId="0" borderId="3" xfId="107" applyNumberFormat="1" applyFont="1" applyBorder="1" applyAlignment="1">
      <alignment horizontal="right" wrapText="1"/>
    </xf>
    <xf numFmtId="0" fontId="116" fillId="0" borderId="0" xfId="0" applyFont="1" applyFill="1" applyAlignment="1">
      <alignment horizontal="left" vertical="center" wrapText="1"/>
    </xf>
    <xf numFmtId="182" fontId="117" fillId="0" borderId="3" xfId="107" applyNumberFormat="1" applyFont="1" applyFill="1" applyBorder="1" applyAlignment="1">
      <alignment horizontal="center" vertical="center" wrapText="1"/>
    </xf>
    <xf numFmtId="3" fontId="3" fillId="0" borderId="3" xfId="0" applyNumberFormat="1" applyFont="1" applyFill="1" applyBorder="1" applyAlignment="1">
      <alignment horizontal="right" vertical="center" wrapText="1"/>
    </xf>
    <xf numFmtId="181" fontId="21" fillId="0" borderId="3" xfId="107" applyNumberFormat="1" applyFont="1" applyFill="1" applyBorder="1" applyAlignment="1">
      <alignment horizontal="right" vertical="center" wrapText="1"/>
    </xf>
    <xf numFmtId="181" fontId="118" fillId="0" borderId="3" xfId="107" applyNumberFormat="1" applyFont="1" applyFill="1" applyBorder="1" applyAlignment="1">
      <alignment horizontal="center" vertical="center" wrapText="1"/>
    </xf>
    <xf numFmtId="181" fontId="8" fillId="0" borderId="4" xfId="107" applyNumberFormat="1" applyFont="1" applyFill="1" applyBorder="1" applyAlignment="1">
      <alignment horizontal="right" vertical="center" wrapText="1"/>
    </xf>
    <xf numFmtId="181" fontId="118" fillId="0" borderId="5" xfId="107" applyNumberFormat="1" applyFont="1" applyFill="1" applyBorder="1" applyAlignment="1">
      <alignment horizontal="right" vertical="center" wrapText="1"/>
    </xf>
    <xf numFmtId="181" fontId="8" fillId="0" borderId="6" xfId="107" applyNumberFormat="1" applyFont="1" applyFill="1" applyBorder="1" applyAlignment="1">
      <alignment horizontal="right" vertical="center" wrapText="1"/>
    </xf>
    <xf numFmtId="181" fontId="21" fillId="0" borderId="4" xfId="107" applyNumberFormat="1" applyFont="1" applyFill="1" applyBorder="1" applyAlignment="1">
      <alignment horizontal="right" vertical="center" wrapText="1"/>
    </xf>
    <xf numFmtId="181" fontId="8" fillId="0" borderId="4" xfId="107" applyNumberFormat="1" applyFont="1" applyFill="1" applyBorder="1" applyAlignment="1">
      <alignment horizontal="center" vertical="center" wrapText="1"/>
    </xf>
    <xf numFmtId="181" fontId="8" fillId="0" borderId="5" xfId="107" applyNumberFormat="1" applyFont="1" applyFill="1" applyBorder="1" applyAlignment="1">
      <alignment horizontal="right" vertical="center" wrapText="1"/>
    </xf>
    <xf numFmtId="181" fontId="8" fillId="0" borderId="5" xfId="107" applyNumberFormat="1" applyFont="1" applyFill="1" applyBorder="1" applyAlignment="1">
      <alignment horizontal="center" vertical="center" wrapText="1"/>
    </xf>
    <xf numFmtId="181" fontId="123" fillId="0" borderId="3" xfId="107" applyNumberFormat="1" applyFont="1" applyFill="1" applyBorder="1" applyAlignment="1">
      <alignment horizontal="right" vertical="center" wrapText="1"/>
    </xf>
    <xf numFmtId="181" fontId="118" fillId="0" borderId="9" xfId="107" applyNumberFormat="1" applyFont="1" applyFill="1" applyBorder="1" applyAlignment="1">
      <alignment horizontal="right" vertical="center" wrapText="1"/>
    </xf>
    <xf numFmtId="181" fontId="22" fillId="0" borderId="3" xfId="107" applyNumberFormat="1" applyFont="1" applyFill="1" applyBorder="1" applyAlignment="1">
      <alignment horizontal="right" vertical="center" wrapText="1"/>
    </xf>
    <xf numFmtId="181" fontId="8" fillId="0" borderId="7" xfId="107" applyNumberFormat="1" applyFont="1" applyFill="1" applyBorder="1" applyAlignment="1">
      <alignment horizontal="right" vertical="center" wrapText="1"/>
    </xf>
    <xf numFmtId="181" fontId="8" fillId="0" borderId="3" xfId="107" applyNumberFormat="1" applyFont="1" applyFill="1" applyBorder="1" applyAlignment="1">
      <alignment horizontal="right" vertical="center" wrapText="1"/>
    </xf>
    <xf numFmtId="181" fontId="120" fillId="0" borderId="5" xfId="107" applyNumberFormat="1" applyFont="1" applyFill="1" applyBorder="1" applyAlignment="1">
      <alignment horizontal="right" vertical="center" wrapText="1"/>
    </xf>
    <xf numFmtId="0" fontId="118" fillId="0" borderId="11"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181" fontId="2" fillId="0" borderId="3" xfId="107" applyNumberFormat="1" applyFont="1" applyFill="1" applyBorder="1" applyAlignment="1">
      <alignment horizontal="right" vertical="center" wrapText="1"/>
    </xf>
    <xf numFmtId="0" fontId="161" fillId="0" borderId="0" xfId="0" applyFont="1" applyFill="1" applyAlignment="1">
      <alignment vertical="center" wrapText="1"/>
    </xf>
    <xf numFmtId="0" fontId="144" fillId="0" borderId="3" xfId="0" applyFont="1" applyBorder="1" applyAlignment="1">
      <alignment horizontal="left" vertical="center" wrapText="1"/>
    </xf>
    <xf numFmtId="0" fontId="139" fillId="0" borderId="3" xfId="0" applyFont="1" applyBorder="1" applyAlignment="1">
      <alignment horizontal="left" vertical="center" wrapText="1"/>
    </xf>
    <xf numFmtId="0" fontId="142" fillId="0" borderId="0" xfId="0" applyFont="1" applyFill="1" applyAlignment="1">
      <alignment vertical="center"/>
    </xf>
    <xf numFmtId="0" fontId="139" fillId="0" borderId="3" xfId="0" applyFont="1" applyFill="1" applyBorder="1" applyAlignment="1">
      <alignment vertical="center" wrapText="1"/>
    </xf>
    <xf numFmtId="0" fontId="147" fillId="0" borderId="3" xfId="0" applyFont="1" applyBorder="1" applyAlignment="1">
      <alignment horizontal="center" vertical="center" wrapText="1"/>
    </xf>
    <xf numFmtId="9" fontId="144" fillId="0" borderId="3" xfId="285" applyFont="1" applyBorder="1" applyAlignment="1">
      <alignment vertical="center" wrapText="1"/>
    </xf>
    <xf numFmtId="9" fontId="139" fillId="0" borderId="3" xfId="285" applyFont="1" applyBorder="1" applyAlignment="1">
      <alignment vertical="center" wrapText="1"/>
    </xf>
    <xf numFmtId="0" fontId="10" fillId="0" borderId="0" xfId="0" applyFont="1" applyFill="1" applyAlignment="1">
      <alignment vertical="center"/>
    </xf>
    <xf numFmtId="0" fontId="137" fillId="0" borderId="3" xfId="0" applyFont="1" applyFill="1" applyBorder="1" applyAlignment="1">
      <alignment vertical="center"/>
    </xf>
    <xf numFmtId="4" fontId="132" fillId="0" borderId="0" xfId="0" applyNumberFormat="1" applyFont="1" applyFill="1" applyAlignment="1">
      <alignment vertical="center"/>
    </xf>
    <xf numFmtId="0" fontId="141" fillId="0" borderId="3" xfId="0" applyFont="1" applyBorder="1" applyAlignment="1">
      <alignment horizontal="center" vertical="center" wrapText="1"/>
    </xf>
    <xf numFmtId="0" fontId="137" fillId="0" borderId="0" xfId="0" applyFont="1" applyFill="1" applyAlignment="1">
      <alignment vertical="center" wrapText="1"/>
    </xf>
    <xf numFmtId="0" fontId="152" fillId="0" borderId="3" xfId="0" applyFont="1" applyFill="1" applyBorder="1" applyAlignment="1">
      <alignment horizontal="left" vertical="center" wrapText="1"/>
    </xf>
    <xf numFmtId="3" fontId="137" fillId="0" borderId="0" xfId="0" applyNumberFormat="1" applyFont="1" applyAlignment="1">
      <alignment vertical="center"/>
    </xf>
    <xf numFmtId="0" fontId="143" fillId="0" borderId="3" xfId="0" applyFont="1" applyFill="1" applyBorder="1" applyAlignment="1">
      <alignment horizontal="center" vertical="center" wrapText="1"/>
    </xf>
    <xf numFmtId="0" fontId="143" fillId="0" borderId="0" xfId="0" applyFont="1" applyFill="1" applyAlignment="1">
      <alignment vertical="center"/>
    </xf>
    <xf numFmtId="0" fontId="144" fillId="0" borderId="3" xfId="0" applyFont="1" applyFill="1" applyBorder="1" applyAlignment="1">
      <alignment vertical="center" wrapText="1"/>
    </xf>
    <xf numFmtId="9" fontId="144" fillId="0" borderId="3" xfId="284" applyFont="1" applyFill="1" applyBorder="1" applyAlignment="1">
      <alignment horizontal="right" vertical="center" wrapText="1"/>
    </xf>
    <xf numFmtId="0" fontId="139" fillId="0" borderId="3" xfId="0" applyFont="1" applyFill="1" applyBorder="1" applyAlignment="1">
      <alignment horizontal="center" vertical="center" wrapText="1"/>
    </xf>
    <xf numFmtId="9" fontId="139" fillId="0" borderId="3" xfId="284" applyFont="1" applyFill="1" applyBorder="1" applyAlignment="1">
      <alignment horizontal="right" vertical="center" wrapText="1"/>
    </xf>
    <xf numFmtId="9" fontId="139" fillId="0" borderId="3" xfId="284" applyFont="1" applyFill="1" applyBorder="1" applyAlignment="1">
      <alignment horizontal="center" vertical="center" wrapText="1"/>
    </xf>
    <xf numFmtId="0" fontId="143" fillId="0" borderId="3" xfId="0" applyFont="1" applyFill="1" applyBorder="1" applyAlignment="1">
      <alignment vertical="center" wrapText="1"/>
    </xf>
    <xf numFmtId="9" fontId="141" fillId="0" borderId="3" xfId="284" applyFont="1" applyFill="1" applyBorder="1" applyAlignment="1">
      <alignment horizontal="center" vertical="center" wrapText="1"/>
    </xf>
    <xf numFmtId="9" fontId="141" fillId="0" borderId="3" xfId="284" applyFont="1" applyFill="1" applyBorder="1" applyAlignment="1">
      <alignment horizontal="right" vertical="center" wrapText="1"/>
    </xf>
    <xf numFmtId="0" fontId="137" fillId="0" borderId="0" xfId="0" applyFont="1" applyFill="1" applyAlignment="1">
      <alignment vertical="center"/>
    </xf>
    <xf numFmtId="0" fontId="0" fillId="0" borderId="0" xfId="0"/>
    <xf numFmtId="4" fontId="137" fillId="0" borderId="0" xfId="0" applyNumberFormat="1" applyFont="1" applyAlignment="1">
      <alignment vertical="center"/>
    </xf>
    <xf numFmtId="0" fontId="132" fillId="0" borderId="0" xfId="0" applyFont="1" applyAlignment="1">
      <alignment horizontal="center" vertical="center"/>
    </xf>
    <xf numFmtId="0" fontId="12" fillId="0" borderId="3" xfId="0" applyFont="1" applyFill="1" applyBorder="1" applyAlignment="1">
      <alignment horizontal="center" vertical="center" wrapText="1"/>
    </xf>
    <xf numFmtId="0" fontId="12" fillId="0" borderId="0" xfId="0" applyFont="1" applyFill="1" applyAlignment="1">
      <alignment vertical="center"/>
    </xf>
    <xf numFmtId="0" fontId="137" fillId="0" borderId="3" xfId="0" applyFont="1" applyBorder="1" applyAlignment="1">
      <alignment horizontal="center" vertical="center"/>
    </xf>
    <xf numFmtId="0" fontId="137" fillId="0" borderId="3" xfId="0" applyFont="1" applyBorder="1" applyAlignment="1">
      <alignment vertical="center"/>
    </xf>
    <xf numFmtId="0" fontId="162" fillId="0" borderId="3" xfId="0" applyFont="1" applyBorder="1" applyAlignment="1">
      <alignment vertical="center" wrapText="1"/>
    </xf>
    <xf numFmtId="0" fontId="163" fillId="0" borderId="3" xfId="0" applyFont="1" applyBorder="1" applyAlignment="1">
      <alignment vertical="center" wrapText="1"/>
    </xf>
    <xf numFmtId="0" fontId="163" fillId="37" borderId="3" xfId="0" applyFont="1" applyFill="1" applyBorder="1" applyAlignment="1">
      <alignment vertical="center" wrapText="1"/>
    </xf>
    <xf numFmtId="0" fontId="10" fillId="0" borderId="3" xfId="0" applyFont="1" applyFill="1" applyBorder="1" applyAlignment="1">
      <alignment vertical="center" wrapText="1"/>
    </xf>
    <xf numFmtId="0" fontId="3" fillId="0" borderId="0" xfId="0" applyFont="1" applyFill="1" applyBorder="1" applyAlignment="1">
      <alignment vertical="center" wrapText="1"/>
    </xf>
    <xf numFmtId="0" fontId="144" fillId="0" borderId="3" xfId="0" applyFont="1" applyBorder="1" applyAlignment="1">
      <alignment horizontal="center" vertical="center" wrapText="1"/>
    </xf>
    <xf numFmtId="3" fontId="3" fillId="0" borderId="0" xfId="0" applyNumberFormat="1" applyFont="1" applyFill="1" applyAlignment="1">
      <alignment vertical="center"/>
    </xf>
    <xf numFmtId="3" fontId="10" fillId="0" borderId="3" xfId="0" applyNumberFormat="1" applyFont="1" applyFill="1" applyBorder="1" applyAlignment="1">
      <alignment horizontal="right" vertical="center" wrapText="1"/>
    </xf>
    <xf numFmtId="0" fontId="3" fillId="0" borderId="3" xfId="0" applyNumberFormat="1" applyFont="1" applyFill="1" applyBorder="1" applyAlignment="1">
      <alignment vertical="center" wrapText="1"/>
    </xf>
    <xf numFmtId="0" fontId="74" fillId="0" borderId="0" xfId="182"/>
    <xf numFmtId="0" fontId="164" fillId="0" borderId="3" xfId="182" applyFont="1" applyBorder="1" applyAlignment="1">
      <alignment horizontal="center" vertical="center"/>
    </xf>
    <xf numFmtId="0" fontId="132" fillId="0" borderId="3" xfId="182" applyFont="1" applyBorder="1" applyAlignment="1">
      <alignment horizontal="center" vertical="center"/>
    </xf>
    <xf numFmtId="0" fontId="132" fillId="0" borderId="3" xfId="182" applyFont="1" applyBorder="1" applyAlignment="1">
      <alignment vertical="center"/>
    </xf>
    <xf numFmtId="4" fontId="132" fillId="0" borderId="3" xfId="182" applyNumberFormat="1" applyFont="1" applyBorder="1" applyAlignment="1">
      <alignment vertical="center"/>
    </xf>
    <xf numFmtId="9" fontId="132" fillId="0" borderId="3" xfId="285" applyFont="1" applyBorder="1" applyAlignment="1">
      <alignment vertical="center"/>
    </xf>
    <xf numFmtId="9" fontId="10" fillId="0" borderId="3" xfId="284" applyFont="1" applyFill="1" applyBorder="1" applyAlignment="1">
      <alignment horizontal="center" vertical="center" wrapText="1"/>
    </xf>
    <xf numFmtId="9" fontId="3" fillId="0" borderId="3" xfId="284" applyFont="1" applyFill="1" applyBorder="1" applyAlignment="1">
      <alignment horizontal="center" vertical="center" wrapText="1"/>
    </xf>
    <xf numFmtId="3" fontId="3" fillId="0" borderId="0" xfId="0" applyNumberFormat="1" applyFont="1" applyFill="1" applyBorder="1" applyAlignment="1">
      <alignment horizontal="right" vertical="center" wrapText="1"/>
    </xf>
    <xf numFmtId="0" fontId="10" fillId="0" borderId="0" xfId="0" applyFont="1" applyFill="1" applyAlignment="1">
      <alignment horizontal="right" vertical="center"/>
    </xf>
    <xf numFmtId="0" fontId="12" fillId="0" borderId="0" xfId="0" applyFont="1" applyFill="1" applyAlignment="1">
      <alignment horizontal="right" vertical="center"/>
    </xf>
    <xf numFmtId="0" fontId="3" fillId="0" borderId="0" xfId="0" applyFont="1" applyFill="1" applyBorder="1" applyAlignment="1">
      <alignment horizontal="center" vertical="center" wrapText="1"/>
    </xf>
    <xf numFmtId="0" fontId="11" fillId="0" borderId="0" xfId="0" applyFont="1" applyFill="1" applyAlignment="1">
      <alignment vertical="center"/>
    </xf>
    <xf numFmtId="0" fontId="165" fillId="0" borderId="0" xfId="0" applyFont="1" applyFill="1" applyAlignment="1">
      <alignment vertical="center"/>
    </xf>
    <xf numFmtId="0" fontId="146" fillId="0" borderId="3" xfId="0" applyFont="1" applyFill="1" applyBorder="1" applyAlignment="1">
      <alignment horizontal="center" vertical="center" wrapText="1"/>
    </xf>
    <xf numFmtId="3" fontId="146" fillId="0" borderId="3" xfId="0" applyNumberFormat="1" applyFont="1" applyFill="1" applyBorder="1" applyAlignment="1">
      <alignment horizontal="center" vertical="center" wrapText="1"/>
    </xf>
    <xf numFmtId="9" fontId="146" fillId="0" borderId="3" xfId="284" applyFont="1" applyFill="1" applyBorder="1" applyAlignment="1">
      <alignment horizontal="center" vertical="center" wrapText="1"/>
    </xf>
    <xf numFmtId="0" fontId="166" fillId="0" borderId="0" xfId="0" applyFont="1"/>
    <xf numFmtId="0" fontId="167" fillId="0" borderId="0" xfId="182" applyFont="1" applyAlignment="1">
      <alignment horizontal="center" vertical="center"/>
    </xf>
    <xf numFmtId="0" fontId="9" fillId="0" borderId="0" xfId="0" applyFont="1" applyAlignment="1">
      <alignment vertical="center"/>
    </xf>
    <xf numFmtId="0" fontId="42" fillId="0" borderId="3" xfId="0" applyFont="1" applyBorder="1" applyAlignment="1">
      <alignment horizontal="center" vertical="center" wrapText="1"/>
    </xf>
    <xf numFmtId="0" fontId="12" fillId="0" borderId="3" xfId="0" applyFont="1" applyBorder="1" applyAlignment="1">
      <alignment horizontal="center" vertical="center" wrapText="1"/>
    </xf>
    <xf numFmtId="4" fontId="3" fillId="0" borderId="0" xfId="0" applyNumberFormat="1" applyFont="1" applyFill="1" applyBorder="1" applyAlignment="1">
      <alignment horizontal="right" vertical="center" wrapText="1"/>
    </xf>
    <xf numFmtId="0" fontId="144" fillId="0" borderId="3" xfId="0" applyFont="1" applyBorder="1" applyAlignment="1">
      <alignment horizontal="center" vertical="center" wrapText="1"/>
    </xf>
    <xf numFmtId="0" fontId="146" fillId="0" borderId="3" xfId="0" applyFont="1" applyBorder="1" applyAlignment="1">
      <alignment horizontal="center" vertical="center" wrapText="1"/>
    </xf>
    <xf numFmtId="4" fontId="42" fillId="0" borderId="0" xfId="0" applyNumberFormat="1" applyFont="1" applyBorder="1" applyAlignment="1">
      <alignment horizontal="right" vertical="center"/>
    </xf>
    <xf numFmtId="3" fontId="41" fillId="0" borderId="0" xfId="0" applyNumberFormat="1" applyFont="1" applyFill="1" applyAlignment="1">
      <alignment vertical="center"/>
    </xf>
    <xf numFmtId="3" fontId="52" fillId="0" borderId="0" xfId="0" applyNumberFormat="1" applyFont="1" applyFill="1" applyAlignment="1">
      <alignment vertical="center"/>
    </xf>
    <xf numFmtId="3" fontId="41" fillId="0" borderId="3"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152" fillId="0" borderId="0" xfId="0" applyFont="1" applyFill="1" applyAlignment="1">
      <alignment vertical="center"/>
    </xf>
    <xf numFmtId="0" fontId="145" fillId="0" borderId="0" xfId="0" applyFont="1" applyFill="1" applyAlignment="1">
      <alignment vertical="center"/>
    </xf>
    <xf numFmtId="0" fontId="145" fillId="0" borderId="3" xfId="0" applyFont="1" applyFill="1" applyBorder="1" applyAlignment="1">
      <alignment vertical="center"/>
    </xf>
    <xf numFmtId="4" fontId="137" fillId="0" borderId="0" xfId="0" applyNumberFormat="1" applyFont="1" applyFill="1" applyAlignment="1">
      <alignment vertical="center"/>
    </xf>
    <xf numFmtId="4" fontId="3" fillId="0" borderId="0" xfId="0" applyNumberFormat="1" applyFont="1" applyFill="1" applyAlignment="1">
      <alignment vertical="center"/>
    </xf>
    <xf numFmtId="4" fontId="3" fillId="0" borderId="3" xfId="0" applyNumberFormat="1" applyFont="1" applyFill="1" applyBorder="1" applyAlignment="1">
      <alignment horizontal="right" vertical="center" wrapText="1"/>
    </xf>
    <xf numFmtId="4" fontId="10" fillId="0" borderId="3" xfId="0" applyNumberFormat="1"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4" fontId="12" fillId="0" borderId="3" xfId="0" applyNumberFormat="1" applyFont="1" applyFill="1" applyBorder="1" applyAlignment="1">
      <alignment horizontal="right" vertical="center" wrapText="1"/>
    </xf>
    <xf numFmtId="3" fontId="11" fillId="0" borderId="3" xfId="0" applyNumberFormat="1" applyFont="1" applyFill="1" applyBorder="1" applyAlignment="1">
      <alignment horizontal="center" vertical="center" wrapText="1"/>
    </xf>
    <xf numFmtId="4" fontId="11" fillId="0" borderId="3" xfId="0" applyNumberFormat="1" applyFont="1" applyFill="1" applyBorder="1" applyAlignment="1">
      <alignment horizontal="right" vertical="center" wrapText="1"/>
    </xf>
    <xf numFmtId="4" fontId="10" fillId="0" borderId="3" xfId="0" applyNumberFormat="1" applyFont="1" applyFill="1" applyBorder="1" applyAlignment="1">
      <alignment vertical="center"/>
    </xf>
    <xf numFmtId="0" fontId="144" fillId="0" borderId="3" xfId="0"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 fontId="146" fillId="0" borderId="3" xfId="0" applyNumberFormat="1" applyFont="1" applyFill="1" applyBorder="1" applyAlignment="1">
      <alignment horizontal="center" vertical="center" wrapText="1"/>
    </xf>
    <xf numFmtId="4" fontId="144" fillId="0" borderId="3" xfId="0" applyNumberFormat="1" applyFont="1" applyFill="1" applyBorder="1" applyAlignment="1">
      <alignment vertical="center" wrapText="1"/>
    </xf>
    <xf numFmtId="4" fontId="139" fillId="0" borderId="3" xfId="0" applyNumberFormat="1" applyFont="1" applyFill="1" applyBorder="1" applyAlignment="1">
      <alignment vertical="center" wrapText="1"/>
    </xf>
    <xf numFmtId="4" fontId="139" fillId="0" borderId="3" xfId="0" applyNumberFormat="1" applyFont="1" applyBorder="1" applyAlignment="1">
      <alignment horizontal="right" vertical="center" wrapText="1"/>
    </xf>
    <xf numFmtId="4" fontId="144" fillId="0" borderId="3" xfId="0" applyNumberFormat="1" applyFont="1" applyFill="1" applyBorder="1" applyAlignment="1">
      <alignment horizontal="right" vertical="center" wrapText="1"/>
    </xf>
    <xf numFmtId="4" fontId="139" fillId="0" borderId="3" xfId="0" applyNumberFormat="1" applyFont="1" applyFill="1" applyBorder="1" applyAlignment="1">
      <alignment horizontal="right" vertical="center" wrapText="1"/>
    </xf>
    <xf numFmtId="4" fontId="144" fillId="0" borderId="3" xfId="0" applyNumberFormat="1" applyFont="1" applyBorder="1" applyAlignment="1">
      <alignment horizontal="right" vertical="center" wrapText="1"/>
    </xf>
    <xf numFmtId="4" fontId="144" fillId="0" borderId="3" xfId="0" applyNumberFormat="1" applyFont="1" applyBorder="1" applyAlignment="1">
      <alignment horizontal="center" vertical="center" wrapText="1"/>
    </xf>
    <xf numFmtId="4" fontId="144" fillId="0" borderId="3" xfId="0" applyNumberFormat="1" applyFont="1" applyBorder="1" applyAlignment="1">
      <alignment vertical="center" wrapText="1"/>
    </xf>
    <xf numFmtId="4" fontId="139" fillId="0" borderId="3" xfId="0" applyNumberFormat="1" applyFont="1" applyBorder="1" applyAlignment="1">
      <alignment vertical="center" wrapText="1"/>
    </xf>
    <xf numFmtId="4" fontId="137" fillId="0" borderId="0" xfId="0" applyNumberFormat="1" applyFont="1" applyFill="1" applyAlignment="1">
      <alignment horizontal="right" vertical="center"/>
    </xf>
    <xf numFmtId="4" fontId="136" fillId="0" borderId="3" xfId="0" applyNumberFormat="1" applyFont="1" applyFill="1" applyBorder="1" applyAlignment="1">
      <alignment horizontal="center" vertical="center" wrapText="1"/>
    </xf>
    <xf numFmtId="4" fontId="141" fillId="0" borderId="3" xfId="0" applyNumberFormat="1" applyFont="1" applyFill="1" applyBorder="1" applyAlignment="1">
      <alignment horizontal="right" vertical="center" wrapText="1"/>
    </xf>
    <xf numFmtId="4" fontId="3" fillId="0" borderId="3" xfId="107" applyNumberFormat="1" applyFont="1" applyFill="1" applyBorder="1" applyAlignment="1">
      <alignment horizontal="right" vertical="center" wrapText="1"/>
    </xf>
    <xf numFmtId="0" fontId="151" fillId="0" borderId="0" xfId="0" applyFont="1" applyFill="1" applyAlignment="1">
      <alignment vertical="center"/>
    </xf>
    <xf numFmtId="4" fontId="144" fillId="0" borderId="3" xfId="0" applyNumberFormat="1" applyFont="1" applyFill="1" applyBorder="1" applyAlignment="1">
      <alignment horizontal="center" vertical="center" wrapText="1"/>
    </xf>
    <xf numFmtId="4" fontId="143" fillId="0" borderId="3" xfId="0" applyNumberFormat="1" applyFont="1" applyFill="1" applyBorder="1" applyAlignment="1">
      <alignment horizontal="right" vertical="center" wrapText="1"/>
    </xf>
    <xf numFmtId="9" fontId="137" fillId="0" borderId="3" xfId="284" applyFont="1" applyFill="1" applyBorder="1" applyAlignment="1">
      <alignment vertical="center"/>
    </xf>
    <xf numFmtId="9" fontId="145" fillId="0" borderId="3" xfId="284" applyFont="1" applyFill="1" applyBorder="1" applyAlignment="1">
      <alignment vertical="center"/>
    </xf>
    <xf numFmtId="4" fontId="146" fillId="0" borderId="3" xfId="0" applyNumberFormat="1" applyFont="1" applyBorder="1" applyAlignment="1">
      <alignment horizontal="center" vertical="center" wrapText="1"/>
    </xf>
    <xf numFmtId="4" fontId="137" fillId="0" borderId="0" xfId="0" applyNumberFormat="1" applyFont="1" applyAlignment="1">
      <alignment horizontal="right" vertical="center"/>
    </xf>
    <xf numFmtId="3" fontId="146" fillId="0" borderId="3" xfId="0" applyNumberFormat="1" applyFont="1" applyBorder="1" applyAlignment="1">
      <alignment horizontal="center" vertical="center" wrapText="1"/>
    </xf>
    <xf numFmtId="4" fontId="12" fillId="0" borderId="0" xfId="0" applyNumberFormat="1" applyFont="1" applyFill="1" applyAlignment="1">
      <alignment horizontal="center" vertical="center"/>
    </xf>
    <xf numFmtId="175" fontId="150" fillId="0" borderId="0" xfId="0" applyNumberFormat="1" applyFont="1" applyFill="1" applyAlignment="1">
      <alignment vertical="center"/>
    </xf>
    <xf numFmtId="4" fontId="52" fillId="0" borderId="3" xfId="0" applyNumberFormat="1" applyFont="1" applyFill="1" applyBorder="1" applyAlignment="1">
      <alignment horizontal="center" vertical="center" wrapText="1"/>
    </xf>
    <xf numFmtId="4" fontId="52" fillId="0" borderId="3" xfId="0" applyNumberFormat="1" applyFont="1" applyFill="1" applyBorder="1" applyAlignment="1">
      <alignment horizontal="right" vertical="center" wrapText="1"/>
    </xf>
    <xf numFmtId="4" fontId="41" fillId="0" borderId="3" xfId="0" applyNumberFormat="1" applyFont="1" applyFill="1" applyBorder="1" applyAlignment="1">
      <alignment horizontal="right" vertical="center" wrapText="1"/>
    </xf>
    <xf numFmtId="4" fontId="41" fillId="0" borderId="0" xfId="0" applyNumberFormat="1" applyFont="1" applyFill="1" applyAlignment="1">
      <alignment vertical="center"/>
    </xf>
    <xf numFmtId="4" fontId="12" fillId="0" borderId="3" xfId="0" applyNumberFormat="1" applyFont="1" applyBorder="1" applyAlignment="1">
      <alignment horizontal="center" vertical="center" wrapText="1"/>
    </xf>
    <xf numFmtId="4" fontId="10" fillId="0" borderId="3" xfId="0" applyNumberFormat="1" applyFont="1" applyFill="1" applyBorder="1" applyAlignment="1">
      <alignment vertical="center" wrapText="1"/>
    </xf>
    <xf numFmtId="4" fontId="3" fillId="0" borderId="0" xfId="107" applyNumberFormat="1" applyFont="1" applyFill="1" applyBorder="1" applyAlignment="1">
      <alignment horizontal="right" vertical="center" wrapText="1"/>
    </xf>
    <xf numFmtId="4" fontId="168" fillId="0" borderId="0" xfId="0" applyNumberFormat="1" applyFont="1" applyFill="1"/>
    <xf numFmtId="4" fontId="132" fillId="0" borderId="0" xfId="0" applyNumberFormat="1" applyFont="1" applyAlignment="1">
      <alignment vertical="center"/>
    </xf>
    <xf numFmtId="4" fontId="9" fillId="0" borderId="0" xfId="0" applyNumberFormat="1" applyFont="1" applyAlignment="1">
      <alignment vertical="center"/>
    </xf>
    <xf numFmtId="4" fontId="169" fillId="0" borderId="0" xfId="0" applyNumberFormat="1" applyFont="1" applyAlignment="1">
      <alignment vertical="center"/>
    </xf>
    <xf numFmtId="4" fontId="9" fillId="0" borderId="0" xfId="0" applyNumberFormat="1" applyFont="1" applyFill="1" applyAlignment="1">
      <alignment vertical="center"/>
    </xf>
    <xf numFmtId="4" fontId="147" fillId="0" borderId="3" xfId="0" applyNumberFormat="1" applyFont="1" applyBorder="1" applyAlignment="1">
      <alignment horizontal="center" vertical="center" wrapText="1"/>
    </xf>
    <xf numFmtId="4" fontId="141" fillId="0" borderId="3"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4" fontId="42" fillId="0" borderId="3" xfId="0" applyNumberFormat="1" applyFont="1" applyFill="1" applyBorder="1" applyAlignment="1">
      <alignment horizontal="center" vertical="center" wrapText="1"/>
    </xf>
    <xf numFmtId="4" fontId="170" fillId="40" borderId="3" xfId="0" applyNumberFormat="1" applyFont="1" applyFill="1" applyBorder="1" applyAlignment="1">
      <alignment horizontal="center" vertical="center" wrapText="1"/>
    </xf>
    <xf numFmtId="4" fontId="143" fillId="0" borderId="3" xfId="0" applyNumberFormat="1" applyFont="1" applyBorder="1" applyAlignment="1">
      <alignment horizontal="center" vertical="center" wrapText="1"/>
    </xf>
    <xf numFmtId="4" fontId="171" fillId="0" borderId="3" xfId="107" applyNumberFormat="1" applyFont="1" applyBorder="1" applyAlignment="1">
      <alignment horizontal="center" vertical="center" wrapText="1"/>
    </xf>
    <xf numFmtId="4" fontId="10" fillId="0" borderId="3" xfId="0" applyNumberFormat="1" applyFont="1" applyBorder="1" applyAlignment="1">
      <alignment vertical="center" wrapText="1"/>
    </xf>
    <xf numFmtId="4" fontId="172" fillId="40" borderId="3" xfId="0" applyNumberFormat="1" applyFont="1" applyFill="1" applyBorder="1" applyAlignment="1">
      <alignment vertical="center" wrapText="1"/>
    </xf>
    <xf numFmtId="4" fontId="3" fillId="0" borderId="3" xfId="0" applyNumberFormat="1" applyFont="1" applyBorder="1" applyAlignment="1">
      <alignment vertical="center" wrapText="1"/>
    </xf>
    <xf numFmtId="4" fontId="173" fillId="40" borderId="3" xfId="0" applyNumberFormat="1" applyFont="1" applyFill="1" applyBorder="1" applyAlignment="1">
      <alignment vertical="center" wrapText="1"/>
    </xf>
    <xf numFmtId="4" fontId="3" fillId="0" borderId="3" xfId="0" applyNumberFormat="1" applyFont="1" applyFill="1" applyBorder="1" applyAlignment="1">
      <alignment vertical="center" wrapText="1"/>
    </xf>
    <xf numFmtId="4" fontId="139" fillId="38" borderId="3" xfId="0" applyNumberFormat="1" applyFont="1" applyFill="1" applyBorder="1" applyAlignment="1">
      <alignment vertical="center" wrapText="1"/>
    </xf>
    <xf numFmtId="0" fontId="5" fillId="0" borderId="3" xfId="0" applyFont="1" applyBorder="1" applyAlignment="1">
      <alignment horizontal="center" vertical="center" wrapText="1"/>
    </xf>
    <xf numFmtId="0" fontId="55" fillId="0" borderId="0" xfId="0" applyFont="1" applyAlignment="1">
      <alignment vertical="center"/>
    </xf>
    <xf numFmtId="0" fontId="5"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0" xfId="0" applyFont="1" applyAlignment="1">
      <alignment vertical="center"/>
    </xf>
    <xf numFmtId="4" fontId="50" fillId="0" borderId="0" xfId="107" applyNumberFormat="1" applyFont="1" applyAlignment="1">
      <alignment horizontal="right" vertical="center"/>
    </xf>
    <xf numFmtId="4" fontId="50" fillId="0" borderId="0" xfId="0" applyNumberFormat="1" applyFont="1" applyAlignment="1">
      <alignment horizontal="right" vertical="center"/>
    </xf>
    <xf numFmtId="4" fontId="5" fillId="0" borderId="0" xfId="0" applyNumberFormat="1" applyFont="1" applyAlignment="1">
      <alignment horizontal="right" vertical="center"/>
    </xf>
    <xf numFmtId="4" fontId="5" fillId="0" borderId="3" xfId="0" applyNumberFormat="1" applyFont="1" applyBorder="1" applyAlignment="1">
      <alignment horizontal="center" vertical="center" wrapText="1"/>
    </xf>
    <xf numFmtId="4" fontId="5" fillId="0" borderId="3" xfId="143" applyNumberFormat="1" applyFont="1" applyBorder="1" applyAlignment="1">
      <alignment horizontal="center" vertical="center" wrapText="1"/>
    </xf>
    <xf numFmtId="4" fontId="5" fillId="0" borderId="3" xfId="0" applyNumberFormat="1" applyFont="1" applyBorder="1" applyAlignment="1">
      <alignment vertical="center" wrapText="1"/>
    </xf>
    <xf numFmtId="4" fontId="5" fillId="0" borderId="3" xfId="143" applyNumberFormat="1" applyFont="1" applyBorder="1" applyAlignment="1">
      <alignment vertical="center" wrapText="1"/>
    </xf>
    <xf numFmtId="4" fontId="4" fillId="0" borderId="3" xfId="0" applyNumberFormat="1" applyFont="1" applyBorder="1" applyAlignment="1">
      <alignment vertical="center" wrapText="1"/>
    </xf>
    <xf numFmtId="4" fontId="4" fillId="0" borderId="3" xfId="143" applyNumberFormat="1" applyFont="1" applyBorder="1" applyAlignment="1">
      <alignment vertical="center" wrapText="1"/>
    </xf>
    <xf numFmtId="4" fontId="50" fillId="0" borderId="0" xfId="0" applyNumberFormat="1" applyFont="1" applyAlignment="1">
      <alignment vertical="center"/>
    </xf>
    <xf numFmtId="3" fontId="42" fillId="0" borderId="3" xfId="0" applyNumberFormat="1" applyFont="1" applyBorder="1" applyAlignment="1">
      <alignment horizontal="center" vertical="center" wrapText="1"/>
    </xf>
    <xf numFmtId="3" fontId="42" fillId="0" borderId="3" xfId="143" applyNumberFormat="1" applyFont="1" applyBorder="1" applyAlignment="1">
      <alignment horizontal="center" vertical="center" wrapText="1"/>
    </xf>
    <xf numFmtId="0" fontId="147" fillId="0" borderId="3" xfId="0" applyFont="1" applyBorder="1" applyAlignment="1">
      <alignment horizontal="center" vertical="center" wrapText="1"/>
    </xf>
    <xf numFmtId="175" fontId="9" fillId="0" borderId="0" xfId="0" applyNumberFormat="1" applyFont="1" applyAlignment="1">
      <alignment vertical="center"/>
    </xf>
    <xf numFmtId="0" fontId="38" fillId="0" borderId="0" xfId="0" applyFont="1" applyAlignment="1">
      <alignment vertical="center"/>
    </xf>
    <xf numFmtId="173" fontId="3" fillId="0" borderId="0" xfId="146" applyNumberFormat="1" applyFont="1" applyFill="1" applyAlignment="1">
      <alignment vertical="center"/>
    </xf>
    <xf numFmtId="173" fontId="38" fillId="0" borderId="0" xfId="146" applyNumberFormat="1" applyFont="1" applyAlignment="1">
      <alignment vertical="center"/>
    </xf>
    <xf numFmtId="0" fontId="38" fillId="0" borderId="0" xfId="0" applyFont="1" applyBorder="1" applyAlignment="1"/>
    <xf numFmtId="0" fontId="38" fillId="0" borderId="0" xfId="0" applyFont="1" applyBorder="1" applyAlignment="1">
      <alignment vertical="center"/>
    </xf>
    <xf numFmtId="173" fontId="38" fillId="0" borderId="0" xfId="0" applyNumberFormat="1" applyFont="1" applyBorder="1" applyAlignment="1">
      <alignment vertical="center"/>
    </xf>
    <xf numFmtId="0" fontId="56" fillId="0" borderId="0" xfId="0" applyFont="1" applyAlignment="1">
      <alignment horizontal="right" vertical="center"/>
    </xf>
    <xf numFmtId="0" fontId="57" fillId="0" borderId="3" xfId="0" applyFont="1" applyBorder="1" applyAlignment="1">
      <alignment horizontal="center" vertical="center" wrapText="1"/>
    </xf>
    <xf numFmtId="173" fontId="57" fillId="0" borderId="3" xfId="146" applyNumberFormat="1" applyFont="1" applyBorder="1" applyAlignment="1">
      <alignment horizontal="center" vertical="center" wrapText="1"/>
    </xf>
    <xf numFmtId="173" fontId="10" fillId="0" borderId="3" xfId="146" applyNumberFormat="1" applyFont="1" applyFill="1" applyBorder="1" applyAlignment="1">
      <alignment horizontal="center" vertical="center" wrapText="1"/>
    </xf>
    <xf numFmtId="181" fontId="57" fillId="0" borderId="3" xfId="146" quotePrefix="1" applyNumberFormat="1" applyFont="1" applyBorder="1" applyAlignment="1">
      <alignment horizontal="center" vertical="center" wrapText="1"/>
    </xf>
    <xf numFmtId="173" fontId="57" fillId="0" borderId="3" xfId="146" quotePrefix="1" applyNumberFormat="1" applyFont="1" applyBorder="1" applyAlignment="1">
      <alignment horizontal="center" vertical="center" wrapText="1"/>
    </xf>
    <xf numFmtId="0" fontId="38" fillId="0" borderId="0" xfId="0" applyFont="1" applyAlignment="1">
      <alignment horizontal="center" vertical="center"/>
    </xf>
    <xf numFmtId="0" fontId="57" fillId="0" borderId="3" xfId="0" applyFont="1" applyBorder="1" applyAlignment="1">
      <alignment vertical="center" wrapText="1"/>
    </xf>
    <xf numFmtId="3" fontId="57" fillId="0" borderId="3" xfId="0" applyNumberFormat="1" applyFont="1" applyBorder="1" applyAlignment="1">
      <alignment horizontal="right" vertical="center" wrapText="1"/>
    </xf>
    <xf numFmtId="173" fontId="10" fillId="0" borderId="3" xfId="146" applyNumberFormat="1" applyFont="1" applyFill="1" applyBorder="1" applyAlignment="1">
      <alignment horizontal="right" vertical="center" wrapText="1"/>
    </xf>
    <xf numFmtId="173" fontId="57" fillId="0" borderId="3" xfId="146" applyNumberFormat="1" applyFont="1" applyBorder="1" applyAlignment="1">
      <alignment horizontal="right" vertical="center" wrapText="1"/>
    </xf>
    <xf numFmtId="9" fontId="57" fillId="0" borderId="3" xfId="287" applyFont="1" applyBorder="1" applyAlignment="1">
      <alignment horizontal="right" vertical="center" wrapText="1"/>
    </xf>
    <xf numFmtId="0" fontId="57" fillId="0" borderId="0" xfId="0" applyFont="1" applyAlignment="1">
      <alignment vertical="center"/>
    </xf>
    <xf numFmtId="173" fontId="57" fillId="0" borderId="3" xfId="0" applyNumberFormat="1" applyFont="1" applyBorder="1" applyAlignment="1">
      <alignment horizontal="right" vertical="center" wrapText="1"/>
    </xf>
    <xf numFmtId="0" fontId="38" fillId="0" borderId="3" xfId="0" applyFont="1" applyBorder="1" applyAlignment="1">
      <alignment horizontal="center" vertical="center" wrapText="1"/>
    </xf>
    <xf numFmtId="0" fontId="38" fillId="0" borderId="3" xfId="0" applyFont="1" applyBorder="1" applyAlignment="1">
      <alignment vertical="center" wrapText="1"/>
    </xf>
    <xf numFmtId="3" fontId="38" fillId="0" borderId="3" xfId="0" applyNumberFormat="1" applyFont="1" applyBorder="1" applyAlignment="1">
      <alignment horizontal="right" vertical="center" wrapText="1"/>
    </xf>
    <xf numFmtId="173" fontId="3" fillId="0" borderId="3" xfId="146" applyNumberFormat="1" applyFont="1" applyFill="1" applyBorder="1" applyAlignment="1">
      <alignment horizontal="right" vertical="center" wrapText="1"/>
    </xf>
    <xf numFmtId="173" fontId="38" fillId="0" borderId="3" xfId="146" applyNumberFormat="1" applyFont="1" applyBorder="1" applyAlignment="1">
      <alignment horizontal="right" vertical="center" wrapText="1"/>
    </xf>
    <xf numFmtId="9" fontId="38" fillId="0" borderId="3" xfId="287" applyFont="1" applyBorder="1" applyAlignment="1">
      <alignment horizontal="right" vertical="center" wrapText="1"/>
    </xf>
    <xf numFmtId="0" fontId="56" fillId="0" borderId="3" xfId="0" applyFont="1" applyBorder="1" applyAlignment="1">
      <alignment vertical="center" wrapText="1"/>
    </xf>
    <xf numFmtId="3" fontId="56" fillId="0" borderId="3" xfId="0" applyNumberFormat="1" applyFont="1" applyBorder="1" applyAlignment="1">
      <alignment horizontal="right" vertical="center" wrapText="1"/>
    </xf>
    <xf numFmtId="173" fontId="12" fillId="0" borderId="3" xfId="146" applyNumberFormat="1" applyFont="1" applyFill="1" applyBorder="1" applyAlignment="1">
      <alignment horizontal="right" vertical="center" wrapText="1"/>
    </xf>
    <xf numFmtId="173" fontId="56" fillId="0" borderId="3" xfId="146" applyNumberFormat="1" applyFont="1" applyBorder="1" applyAlignment="1">
      <alignment horizontal="right" vertical="center" wrapText="1"/>
    </xf>
    <xf numFmtId="3" fontId="38" fillId="0" borderId="9" xfId="0" applyNumberFormat="1" applyFont="1" applyBorder="1" applyAlignment="1">
      <alignment horizontal="right" vertical="center" wrapText="1"/>
    </xf>
    <xf numFmtId="173" fontId="3" fillId="0" borderId="9" xfId="146" applyNumberFormat="1" applyFont="1" applyFill="1" applyBorder="1" applyAlignment="1">
      <alignment horizontal="right" vertical="center" wrapText="1"/>
    </xf>
    <xf numFmtId="173" fontId="38" fillId="0" borderId="9" xfId="146" applyNumberFormat="1" applyFont="1" applyBorder="1" applyAlignment="1">
      <alignment horizontal="right" vertical="center" wrapText="1"/>
    </xf>
    <xf numFmtId="0" fontId="56" fillId="0" borderId="3" xfId="0" applyFont="1" applyBorder="1" applyAlignment="1">
      <alignment horizontal="center" vertical="center" wrapText="1"/>
    </xf>
    <xf numFmtId="0" fontId="56" fillId="0" borderId="0" xfId="0" applyFont="1" applyAlignment="1">
      <alignment vertical="center"/>
    </xf>
    <xf numFmtId="0" fontId="58" fillId="0" borderId="0" xfId="0" applyFont="1" applyAlignment="1">
      <alignment vertical="center"/>
    </xf>
    <xf numFmtId="0" fontId="132" fillId="0" borderId="3" xfId="0" applyFont="1" applyBorder="1" applyAlignment="1">
      <alignment vertical="center"/>
    </xf>
    <xf numFmtId="0" fontId="174" fillId="0" borderId="3" xfId="0" applyFont="1" applyFill="1" applyBorder="1" applyAlignment="1">
      <alignment horizontal="center" vertical="center" wrapText="1"/>
    </xf>
    <xf numFmtId="3" fontId="174" fillId="0" borderId="3" xfId="0" applyNumberFormat="1" applyFont="1" applyFill="1" applyBorder="1" applyAlignment="1">
      <alignment horizontal="center" vertical="center" wrapText="1"/>
    </xf>
    <xf numFmtId="4" fontId="147" fillId="0" borderId="9" xfId="0" applyNumberFormat="1" applyFont="1" applyFill="1" applyBorder="1" applyAlignment="1">
      <alignment horizontal="center" vertical="center" wrapText="1"/>
    </xf>
    <xf numFmtId="0" fontId="136" fillId="0" borderId="0" xfId="0" applyFont="1" applyAlignment="1">
      <alignment horizontal="center" vertical="center"/>
    </xf>
    <xf numFmtId="0" fontId="145" fillId="0" borderId="0" xfId="0" applyFont="1" applyAlignment="1">
      <alignment horizontal="center" vertical="center" wrapText="1"/>
    </xf>
    <xf numFmtId="3" fontId="41" fillId="0" borderId="0" xfId="0" applyNumberFormat="1" applyFont="1" applyFill="1" applyAlignment="1">
      <alignment horizontal="right" vertical="center"/>
    </xf>
    <xf numFmtId="3" fontId="41" fillId="0" borderId="12" xfId="0" applyNumberFormat="1" applyFont="1" applyFill="1" applyBorder="1" applyAlignment="1">
      <alignment vertical="center"/>
    </xf>
    <xf numFmtId="3" fontId="52" fillId="0" borderId="3" xfId="0" applyNumberFormat="1" applyFont="1" applyFill="1" applyBorder="1" applyAlignment="1">
      <alignment horizontal="center" vertical="center" wrapText="1"/>
    </xf>
    <xf numFmtId="3" fontId="41" fillId="0" borderId="3" xfId="0" applyNumberFormat="1" applyFont="1" applyFill="1" applyBorder="1" applyAlignment="1">
      <alignment horizontal="center" vertical="center"/>
    </xf>
    <xf numFmtId="3" fontId="41" fillId="0" borderId="3"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3" fillId="0" borderId="0" xfId="0" applyFont="1" applyAlignment="1">
      <alignment vertical="center"/>
    </xf>
    <xf numFmtId="0" fontId="48" fillId="0" borderId="3" xfId="0" applyFont="1" applyBorder="1" applyAlignment="1">
      <alignment horizontal="center" vertical="center" wrapText="1"/>
    </xf>
    <xf numFmtId="0" fontId="42" fillId="0" borderId="0" xfId="0" applyFont="1" applyAlignment="1">
      <alignment vertical="center"/>
    </xf>
    <xf numFmtId="3" fontId="10" fillId="0" borderId="3" xfId="0" applyNumberFormat="1" applyFont="1" applyBorder="1" applyAlignment="1">
      <alignment vertical="center" wrapText="1"/>
    </xf>
    <xf numFmtId="9" fontId="10"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3" fontId="3" fillId="0" borderId="3" xfId="0" applyNumberFormat="1" applyFont="1" applyBorder="1" applyAlignment="1">
      <alignment vertical="center" wrapText="1"/>
    </xf>
    <xf numFmtId="9" fontId="3" fillId="0" borderId="3" xfId="0" applyNumberFormat="1" applyFont="1" applyBorder="1" applyAlignment="1">
      <alignment horizontal="center" vertical="center" wrapText="1"/>
    </xf>
    <xf numFmtId="0" fontId="12" fillId="0" borderId="3" xfId="0" applyFont="1" applyBorder="1" applyAlignment="1">
      <alignment vertical="center" wrapText="1"/>
    </xf>
    <xf numFmtId="3" fontId="12" fillId="0" borderId="3" xfId="0" applyNumberFormat="1" applyFont="1" applyBorder="1" applyAlignment="1">
      <alignment vertical="center" wrapText="1"/>
    </xf>
    <xf numFmtId="9" fontId="12" fillId="0" borderId="3" xfId="0" applyNumberFormat="1" applyFont="1" applyBorder="1" applyAlignment="1">
      <alignment horizontal="center" vertical="center" wrapText="1"/>
    </xf>
    <xf numFmtId="0" fontId="12" fillId="0" borderId="0" xfId="0" applyFont="1" applyAlignment="1">
      <alignment vertical="center"/>
    </xf>
    <xf numFmtId="3" fontId="3" fillId="0" borderId="3" xfId="0" applyNumberFormat="1" applyFont="1" applyBorder="1" applyAlignment="1">
      <alignment horizontal="right" vertical="center" wrapText="1"/>
    </xf>
    <xf numFmtId="0" fontId="3" fillId="0" borderId="3" xfId="0" applyFont="1" applyBorder="1" applyAlignment="1">
      <alignment vertical="center"/>
    </xf>
    <xf numFmtId="0" fontId="41" fillId="0" borderId="0" xfId="0" applyFont="1" applyFill="1"/>
    <xf numFmtId="0" fontId="52" fillId="0" borderId="3"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0" xfId="0" applyFont="1" applyFill="1"/>
    <xf numFmtId="0" fontId="52" fillId="0" borderId="0" xfId="0" applyFont="1" applyFill="1"/>
    <xf numFmtId="0" fontId="52" fillId="0" borderId="3" xfId="0" applyFont="1" applyFill="1" applyBorder="1" applyAlignment="1">
      <alignment horizontal="left" vertical="center" wrapText="1"/>
    </xf>
    <xf numFmtId="0" fontId="41" fillId="0" borderId="3" xfId="0" applyFont="1" applyFill="1" applyBorder="1"/>
    <xf numFmtId="0" fontId="41" fillId="0" borderId="3" xfId="0" applyFont="1" applyFill="1" applyBorder="1" applyAlignment="1">
      <alignment horizontal="left" vertical="center" wrapText="1"/>
    </xf>
    <xf numFmtId="4" fontId="41" fillId="0" borderId="3" xfId="0" applyNumberFormat="1" applyFont="1" applyFill="1" applyBorder="1" applyAlignment="1">
      <alignment vertical="center"/>
    </xf>
    <xf numFmtId="171" fontId="41" fillId="0" borderId="0" xfId="112" applyFont="1" applyFill="1"/>
    <xf numFmtId="4" fontId="41" fillId="0" borderId="0" xfId="0" applyNumberFormat="1" applyFont="1" applyFill="1"/>
    <xf numFmtId="171" fontId="41" fillId="0" borderId="0" xfId="0" applyNumberFormat="1" applyFont="1" applyFill="1"/>
    <xf numFmtId="4" fontId="41" fillId="0" borderId="0" xfId="0" applyNumberFormat="1" applyFont="1" applyFill="1" applyAlignment="1">
      <alignment horizontal="right" vertical="center"/>
    </xf>
    <xf numFmtId="4" fontId="41" fillId="0" borderId="12" xfId="0" applyNumberFormat="1" applyFont="1" applyFill="1" applyBorder="1" applyAlignment="1">
      <alignment vertical="center"/>
    </xf>
    <xf numFmtId="4" fontId="53" fillId="0" borderId="12" xfId="0" applyNumberFormat="1" applyFont="1" applyFill="1" applyBorder="1" applyAlignment="1">
      <alignment horizontal="center" vertical="center"/>
    </xf>
    <xf numFmtId="4" fontId="53" fillId="0" borderId="0" xfId="0" applyNumberFormat="1" applyFont="1" applyFill="1" applyBorder="1" applyAlignment="1">
      <alignment horizontal="center" vertical="center"/>
    </xf>
    <xf numFmtId="4" fontId="41" fillId="0" borderId="0" xfId="0" applyNumberFormat="1" applyFont="1" applyFill="1" applyBorder="1" applyAlignment="1">
      <alignment vertical="center"/>
    </xf>
    <xf numFmtId="4" fontId="54" fillId="0" borderId="0" xfId="0" applyNumberFormat="1" applyFont="1" applyFill="1" applyAlignment="1">
      <alignment vertical="center"/>
    </xf>
    <xf numFmtId="4" fontId="52" fillId="0" borderId="0" xfId="0" applyNumberFormat="1" applyFont="1" applyFill="1" applyAlignment="1">
      <alignment vertical="center"/>
    </xf>
    <xf numFmtId="9" fontId="41" fillId="0" borderId="0" xfId="284" applyFont="1" applyFill="1" applyAlignment="1">
      <alignment vertical="center"/>
    </xf>
    <xf numFmtId="9" fontId="52" fillId="0" borderId="0" xfId="284" applyFont="1" applyFill="1" applyAlignment="1">
      <alignment horizontal="right" vertical="center"/>
    </xf>
    <xf numFmtId="9" fontId="53" fillId="0" borderId="12" xfId="284" applyFont="1" applyFill="1" applyBorder="1" applyAlignment="1">
      <alignment horizontal="center" vertical="center"/>
    </xf>
    <xf numFmtId="9" fontId="53" fillId="0" borderId="0" xfId="284" applyFont="1" applyFill="1" applyBorder="1" applyAlignment="1">
      <alignment horizontal="center" vertical="center"/>
    </xf>
    <xf numFmtId="4" fontId="10" fillId="41" borderId="3" xfId="0" applyNumberFormat="1" applyFont="1" applyFill="1" applyBorder="1" applyAlignment="1">
      <alignment vertical="center" wrapText="1"/>
    </xf>
    <xf numFmtId="4" fontId="42" fillId="41" borderId="3" xfId="0" applyNumberFormat="1" applyFont="1" applyFill="1" applyBorder="1" applyAlignment="1">
      <alignment horizontal="center" vertical="center" wrapText="1"/>
    </xf>
    <xf numFmtId="4" fontId="3" fillId="41" borderId="3" xfId="0" applyNumberFormat="1" applyFont="1" applyFill="1" applyBorder="1" applyAlignment="1">
      <alignment vertical="center" wrapText="1"/>
    </xf>
    <xf numFmtId="4" fontId="175" fillId="0" borderId="0" xfId="0" applyNumberFormat="1" applyFont="1" applyAlignment="1">
      <alignment vertical="center"/>
    </xf>
    <xf numFmtId="4" fontId="176" fillId="0" borderId="11" xfId="0" applyNumberFormat="1" applyFont="1" applyFill="1" applyBorder="1" applyAlignment="1">
      <alignment horizontal="center" vertical="center" wrapText="1"/>
    </xf>
    <xf numFmtId="4" fontId="177" fillId="0" borderId="3" xfId="0" applyNumberFormat="1" applyFont="1" applyBorder="1" applyAlignment="1">
      <alignment horizontal="center" vertical="center" wrapText="1"/>
    </xf>
    <xf numFmtId="4" fontId="176" fillId="0" borderId="3" xfId="0" applyNumberFormat="1" applyFont="1" applyBorder="1" applyAlignment="1">
      <alignment vertical="center" wrapText="1"/>
    </xf>
    <xf numFmtId="4" fontId="178" fillId="0" borderId="3" xfId="0" applyNumberFormat="1" applyFont="1" applyBorder="1" applyAlignment="1">
      <alignment vertical="center" wrapText="1"/>
    </xf>
    <xf numFmtId="0" fontId="144" fillId="0" borderId="3" xfId="0" applyFont="1" applyFill="1" applyBorder="1" applyAlignment="1">
      <alignment horizontal="center" vertical="center" wrapText="1"/>
    </xf>
    <xf numFmtId="4" fontId="38" fillId="0" borderId="3" xfId="0" applyNumberFormat="1" applyFont="1" applyBorder="1" applyAlignment="1">
      <alignment horizontal="right" vertical="center" wrapText="1"/>
    </xf>
    <xf numFmtId="4" fontId="137" fillId="0" borderId="0" xfId="0" applyNumberFormat="1" applyFont="1" applyFill="1" applyAlignment="1">
      <alignment vertical="center" wrapText="1"/>
    </xf>
    <xf numFmtId="4" fontId="179" fillId="0" borderId="0" xfId="0" applyNumberFormat="1" applyFont="1" applyFill="1" applyAlignment="1">
      <alignment vertical="center"/>
    </xf>
    <xf numFmtId="175" fontId="137" fillId="0" borderId="0" xfId="0" applyNumberFormat="1" applyFont="1" applyFill="1" applyAlignment="1">
      <alignment vertical="center"/>
    </xf>
    <xf numFmtId="175" fontId="3" fillId="0" borderId="0" xfId="0" applyNumberFormat="1" applyFont="1" applyFill="1" applyAlignment="1">
      <alignment vertical="center"/>
    </xf>
    <xf numFmtId="0" fontId="167" fillId="0" borderId="0" xfId="182" applyFont="1" applyAlignment="1">
      <alignment horizontal="center" vertical="center"/>
    </xf>
    <xf numFmtId="4" fontId="50" fillId="0" borderId="0" xfId="0" applyNumberFormat="1" applyFont="1" applyFill="1" applyAlignment="1">
      <alignment vertical="center"/>
    </xf>
    <xf numFmtId="0" fontId="12" fillId="0" borderId="3" xfId="0" applyFont="1" applyFill="1" applyBorder="1" applyAlignment="1">
      <alignment horizontal="left" vertical="center" wrapText="1"/>
    </xf>
    <xf numFmtId="4" fontId="132" fillId="0" borderId="0" xfId="182" applyNumberFormat="1" applyFont="1" applyFill="1" applyBorder="1" applyAlignment="1">
      <alignment vertical="center"/>
    </xf>
    <xf numFmtId="4" fontId="0" fillId="0" borderId="0" xfId="0" applyNumberFormat="1"/>
    <xf numFmtId="0" fontId="137" fillId="0" borderId="3" xfId="0" applyFont="1" applyFill="1" applyBorder="1" applyAlignment="1">
      <alignment horizontal="center" vertical="center" wrapText="1"/>
    </xf>
    <xf numFmtId="0" fontId="12" fillId="0" borderId="0" xfId="0" applyFont="1" applyFill="1" applyAlignment="1">
      <alignment horizontal="center" vertical="center"/>
    </xf>
    <xf numFmtId="4" fontId="180" fillId="0" borderId="0" xfId="0" applyNumberFormat="1" applyFont="1" applyAlignment="1">
      <alignment vertical="center"/>
    </xf>
    <xf numFmtId="174" fontId="3" fillId="0" borderId="0" xfId="0" applyNumberFormat="1" applyFont="1" applyFill="1" applyAlignment="1">
      <alignment vertical="center"/>
    </xf>
    <xf numFmtId="4" fontId="3" fillId="0" borderId="0" xfId="0" applyNumberFormat="1" applyFont="1" applyFill="1" applyAlignment="1">
      <alignment horizontal="right" vertical="center" wrapText="1"/>
    </xf>
    <xf numFmtId="180" fontId="3" fillId="0" borderId="0" xfId="0" applyNumberFormat="1" applyFont="1" applyFill="1" applyAlignment="1">
      <alignment vertical="center"/>
    </xf>
    <xf numFmtId="175" fontId="3" fillId="0" borderId="3" xfId="0" applyNumberFormat="1" applyFont="1" applyFill="1" applyBorder="1" applyAlignment="1">
      <alignment horizontal="right" vertical="center" wrapText="1"/>
    </xf>
    <xf numFmtId="3" fontId="10" fillId="0" borderId="3" xfId="0" applyNumberFormat="1" applyFont="1" applyFill="1" applyBorder="1" applyAlignment="1">
      <alignment horizontal="center" vertical="center" wrapText="1"/>
    </xf>
    <xf numFmtId="3" fontId="10" fillId="0" borderId="3" xfId="0" applyNumberFormat="1" applyFont="1" applyFill="1" applyBorder="1" applyAlignment="1">
      <alignment vertical="center" wrapText="1"/>
    </xf>
    <xf numFmtId="175" fontId="10" fillId="0" borderId="3" xfId="0" applyNumberFormat="1" applyFont="1" applyFill="1" applyBorder="1" applyAlignment="1">
      <alignment horizontal="right" vertical="center" wrapText="1"/>
    </xf>
    <xf numFmtId="3" fontId="3" fillId="0" borderId="3" xfId="0" applyNumberFormat="1" applyFont="1" applyFill="1" applyBorder="1" applyAlignment="1">
      <alignment horizontal="center" vertical="center" wrapText="1"/>
    </xf>
    <xf numFmtId="3" fontId="3" fillId="0" borderId="3" xfId="0" applyNumberFormat="1" applyFont="1" applyFill="1" applyBorder="1" applyAlignment="1">
      <alignment vertical="center" wrapText="1"/>
    </xf>
    <xf numFmtId="3" fontId="12" fillId="0" borderId="3" xfId="0" applyNumberFormat="1" applyFont="1" applyFill="1" applyBorder="1" applyAlignment="1">
      <alignment horizontal="center" vertical="center" wrapText="1"/>
    </xf>
    <xf numFmtId="3" fontId="12" fillId="0" borderId="3" xfId="0" applyNumberFormat="1" applyFont="1" applyFill="1" applyBorder="1" applyAlignment="1">
      <alignment vertical="center" wrapText="1"/>
    </xf>
    <xf numFmtId="1" fontId="3" fillId="0" borderId="3" xfId="0" applyNumberFormat="1" applyFont="1" applyFill="1" applyBorder="1" applyAlignment="1">
      <alignment vertical="center" wrapText="1"/>
    </xf>
    <xf numFmtId="3" fontId="9" fillId="0" borderId="3" xfId="0" applyNumberFormat="1" applyFont="1" applyFill="1" applyBorder="1" applyAlignment="1">
      <alignment horizontal="center" vertical="center"/>
    </xf>
    <xf numFmtId="3" fontId="41" fillId="0" borderId="3" xfId="219" applyNumberFormat="1" applyFont="1" applyFill="1" applyBorder="1" applyAlignment="1">
      <alignment horizontal="left" vertical="center" shrinkToFit="1"/>
    </xf>
    <xf numFmtId="0" fontId="10" fillId="0" borderId="3" xfId="0" applyFont="1" applyFill="1" applyBorder="1" applyAlignment="1">
      <alignment vertical="center"/>
    </xf>
    <xf numFmtId="0" fontId="12" fillId="0" borderId="3" xfId="271" applyFont="1" applyFill="1" applyBorder="1" applyAlignment="1">
      <alignment horizontal="left" vertical="center" wrapText="1"/>
    </xf>
    <xf numFmtId="0" fontId="12" fillId="0" borderId="3" xfId="0" applyFont="1" applyFill="1" applyBorder="1" applyAlignment="1">
      <alignment vertical="center" wrapText="1"/>
    </xf>
    <xf numFmtId="0" fontId="12" fillId="0" borderId="3" xfId="0" applyFont="1" applyFill="1" applyBorder="1" applyAlignment="1">
      <alignment vertical="center"/>
    </xf>
    <xf numFmtId="3" fontId="11" fillId="0" borderId="3"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190" fontId="3" fillId="0" borderId="3" xfId="0" applyNumberFormat="1" applyFont="1" applyFill="1" applyBorder="1" applyAlignment="1">
      <alignment vertical="center" wrapText="1"/>
    </xf>
    <xf numFmtId="0" fontId="11" fillId="0" borderId="3" xfId="0" applyFont="1" applyFill="1" applyBorder="1" applyAlignment="1">
      <alignment vertical="center" wrapText="1"/>
    </xf>
    <xf numFmtId="3" fontId="3" fillId="0" borderId="3" xfId="0" applyNumberFormat="1" applyFont="1" applyFill="1" applyBorder="1" applyAlignment="1">
      <alignment horizontal="left" vertical="center" wrapText="1"/>
    </xf>
    <xf numFmtId="0" fontId="3" fillId="0" borderId="3" xfId="0" applyFont="1" applyFill="1" applyBorder="1" applyAlignment="1">
      <alignment vertical="center"/>
    </xf>
    <xf numFmtId="4" fontId="10" fillId="0" borderId="3" xfId="0" applyNumberFormat="1" applyFont="1" applyFill="1" applyBorder="1" applyAlignment="1">
      <alignment horizontal="right" vertical="center"/>
    </xf>
    <xf numFmtId="186" fontId="3" fillId="0" borderId="3" xfId="107" applyNumberFormat="1" applyFont="1" applyFill="1" applyBorder="1" applyAlignment="1">
      <alignment horizontal="left" vertical="center"/>
    </xf>
    <xf numFmtId="186" fontId="3" fillId="0" borderId="3" xfId="107" applyNumberFormat="1" applyFont="1" applyFill="1" applyBorder="1" applyAlignment="1">
      <alignment horizontal="left" vertical="center" wrapText="1"/>
    </xf>
    <xf numFmtId="4" fontId="3" fillId="0" borderId="3" xfId="107" applyNumberFormat="1" applyFont="1" applyFill="1" applyBorder="1" applyAlignment="1">
      <alignment horizontal="right" vertical="center"/>
    </xf>
    <xf numFmtId="4" fontId="3" fillId="0" borderId="3" xfId="107" applyNumberFormat="1" applyFont="1" applyFill="1" applyBorder="1" applyAlignment="1">
      <alignment vertical="center"/>
    </xf>
    <xf numFmtId="4" fontId="12" fillId="0" borderId="3" xfId="107" applyNumberFormat="1" applyFont="1" applyFill="1" applyBorder="1" applyAlignment="1">
      <alignment horizontal="right" vertical="center"/>
    </xf>
    <xf numFmtId="186" fontId="3" fillId="0" borderId="0" xfId="107" applyNumberFormat="1" applyFont="1" applyFill="1" applyAlignment="1">
      <alignment horizontal="left" vertical="center"/>
    </xf>
    <xf numFmtId="4" fontId="3" fillId="0" borderId="3" xfId="107" applyNumberFormat="1" applyFont="1" applyFill="1" applyBorder="1" applyAlignment="1">
      <alignment horizontal="left" vertical="center"/>
    </xf>
    <xf numFmtId="0" fontId="12" fillId="0" borderId="3" xfId="0" applyFont="1" applyFill="1" applyBorder="1" applyAlignment="1">
      <alignment horizontal="center" vertical="center"/>
    </xf>
    <xf numFmtId="0" fontId="3" fillId="0" borderId="0" xfId="0" applyFont="1" applyFill="1" applyAlignment="1">
      <alignment horizontal="center" vertical="center" wrapText="1"/>
    </xf>
    <xf numFmtId="4" fontId="3" fillId="0" borderId="0" xfId="107" applyNumberFormat="1" applyFont="1" applyFill="1" applyAlignment="1">
      <alignment vertical="center" wrapText="1"/>
    </xf>
    <xf numFmtId="0" fontId="3" fillId="0" borderId="0" xfId="0" applyFont="1" applyFill="1" applyAlignment="1">
      <alignment horizontal="right" vertical="center"/>
    </xf>
    <xf numFmtId="0" fontId="10" fillId="0" borderId="3" xfId="0" applyFont="1" applyFill="1" applyBorder="1" applyAlignment="1">
      <alignment horizontal="right" vertical="center" wrapText="1"/>
    </xf>
    <xf numFmtId="175" fontId="3" fillId="0" borderId="0" xfId="0" applyNumberFormat="1" applyFont="1" applyFill="1" applyBorder="1" applyAlignment="1">
      <alignment horizontal="right" vertical="center" wrapText="1"/>
    </xf>
    <xf numFmtId="175" fontId="3" fillId="0" borderId="0" xfId="107" applyNumberFormat="1" applyFont="1" applyFill="1" applyBorder="1" applyAlignment="1">
      <alignment horizontal="right" vertical="center" wrapText="1"/>
    </xf>
    <xf numFmtId="188" fontId="3" fillId="0" borderId="3" xfId="0" applyNumberFormat="1" applyFont="1" applyFill="1" applyBorder="1" applyAlignment="1">
      <alignment vertical="center" wrapText="1"/>
    </xf>
    <xf numFmtId="4" fontId="12" fillId="0" borderId="3" xfId="0" applyNumberFormat="1" applyFont="1" applyFill="1" applyBorder="1" applyAlignment="1">
      <alignment horizontal="right" vertical="center"/>
    </xf>
    <xf numFmtId="0" fontId="6" fillId="0" borderId="0" xfId="0" applyFont="1" applyFill="1" applyAlignment="1">
      <alignment vertical="center"/>
    </xf>
    <xf numFmtId="0" fontId="63" fillId="0" borderId="0" xfId="0" applyFont="1" applyFill="1" applyAlignment="1">
      <alignment vertical="center"/>
    </xf>
    <xf numFmtId="4" fontId="3" fillId="0" borderId="3" xfId="0" applyNumberFormat="1" applyFont="1" applyFill="1" applyBorder="1" applyAlignment="1">
      <alignment horizontal="right" vertical="center"/>
    </xf>
    <xf numFmtId="4" fontId="10" fillId="0" borderId="3" xfId="273" applyNumberFormat="1" applyFont="1" applyFill="1" applyBorder="1" applyAlignment="1">
      <alignment horizontal="right" vertical="center"/>
    </xf>
    <xf numFmtId="4" fontId="3" fillId="0" borderId="3" xfId="273" applyNumberFormat="1" applyFont="1" applyFill="1" applyBorder="1" applyAlignment="1">
      <alignment horizontal="right" vertical="center"/>
    </xf>
    <xf numFmtId="4" fontId="12" fillId="0" borderId="3" xfId="273" applyNumberFormat="1" applyFont="1" applyFill="1" applyBorder="1" applyAlignment="1">
      <alignment horizontal="right" vertical="center"/>
    </xf>
    <xf numFmtId="4" fontId="3" fillId="0" borderId="3" xfId="100" applyNumberFormat="1" applyFont="1" applyFill="1" applyBorder="1" applyAlignment="1">
      <alignment vertical="center"/>
    </xf>
    <xf numFmtId="4" fontId="12" fillId="0" borderId="3" xfId="107" applyNumberFormat="1" applyFont="1" applyFill="1" applyBorder="1" applyAlignment="1">
      <alignment horizontal="right" vertical="center" wrapText="1"/>
    </xf>
    <xf numFmtId="4" fontId="12" fillId="0" borderId="3" xfId="0" applyNumberFormat="1" applyFont="1" applyFill="1" applyBorder="1" applyAlignment="1">
      <alignment vertical="center"/>
    </xf>
    <xf numFmtId="4" fontId="12" fillId="0" borderId="0" xfId="0" applyNumberFormat="1" applyFont="1" applyFill="1" applyAlignment="1">
      <alignment vertical="center"/>
    </xf>
    <xf numFmtId="4" fontId="55" fillId="0" borderId="3" xfId="0" applyNumberFormat="1" applyFont="1" applyFill="1" applyBorder="1" applyAlignment="1">
      <alignment vertical="center"/>
    </xf>
    <xf numFmtId="4" fontId="11" fillId="0" borderId="3" xfId="0" applyNumberFormat="1" applyFont="1" applyFill="1" applyBorder="1" applyAlignment="1">
      <alignment horizontal="right" vertical="center"/>
    </xf>
    <xf numFmtId="4" fontId="11" fillId="0" borderId="3" xfId="273" applyNumberFormat="1" applyFont="1" applyFill="1" applyBorder="1" applyAlignment="1">
      <alignment horizontal="right" vertical="center"/>
    </xf>
    <xf numFmtId="4" fontId="42" fillId="0" borderId="3" xfId="0" applyNumberFormat="1" applyFont="1" applyFill="1" applyBorder="1" applyAlignment="1">
      <alignment vertical="center"/>
    </xf>
    <xf numFmtId="4" fontId="3" fillId="0" borderId="3" xfId="273" applyNumberFormat="1" applyFont="1" applyFill="1" applyBorder="1" applyAlignment="1">
      <alignment horizontal="right" vertical="center" wrapText="1"/>
    </xf>
    <xf numFmtId="4" fontId="9" fillId="0" borderId="3" xfId="0" applyNumberFormat="1" applyFont="1" applyFill="1" applyBorder="1" applyAlignment="1">
      <alignment horizontal="right" vertical="center" wrapText="1"/>
    </xf>
    <xf numFmtId="4" fontId="12" fillId="0" borderId="3" xfId="273" applyNumberFormat="1" applyFont="1" applyFill="1" applyBorder="1" applyAlignment="1">
      <alignment horizontal="right" vertical="center" wrapText="1"/>
    </xf>
    <xf numFmtId="0" fontId="143" fillId="0" borderId="0" xfId="0" applyFont="1" applyAlignment="1">
      <alignment horizontal="center" vertical="center"/>
    </xf>
    <xf numFmtId="0" fontId="137" fillId="0" borderId="0" xfId="0" applyFont="1" applyAlignment="1">
      <alignment horizontal="center" vertical="center"/>
    </xf>
    <xf numFmtId="0" fontId="142" fillId="0" borderId="3" xfId="182" applyFont="1" applyBorder="1" applyAlignment="1">
      <alignment horizontal="center" vertical="center" wrapText="1"/>
    </xf>
    <xf numFmtId="175" fontId="181" fillId="0" borderId="0" xfId="0" applyNumberFormat="1" applyFont="1" applyFill="1" applyAlignment="1">
      <alignment vertical="center"/>
    </xf>
    <xf numFmtId="175" fontId="182" fillId="0" borderId="0" xfId="0" applyNumberFormat="1" applyFont="1" applyFill="1" applyAlignment="1">
      <alignment vertical="center" wrapText="1"/>
    </xf>
    <xf numFmtId="175" fontId="182" fillId="0" borderId="0" xfId="0" applyNumberFormat="1" applyFont="1" applyFill="1" applyAlignment="1">
      <alignment vertical="center"/>
    </xf>
    <xf numFmtId="3" fontId="41" fillId="0" borderId="3" xfId="219" applyNumberFormat="1" applyFont="1" applyFill="1" applyBorder="1" applyAlignment="1">
      <alignment horizontal="left" vertical="center" wrapText="1" shrinkToFit="1"/>
    </xf>
    <xf numFmtId="0" fontId="3" fillId="0" borderId="4" xfId="0"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3" xfId="189" applyFont="1" applyFill="1" applyBorder="1" applyAlignment="1">
      <alignment vertical="center" wrapText="1"/>
    </xf>
    <xf numFmtId="175" fontId="3" fillId="0" borderId="3" xfId="273" applyNumberFormat="1" applyFont="1" applyFill="1" applyBorder="1" applyAlignment="1">
      <alignment horizontal="right" vertical="center" wrapText="1"/>
    </xf>
    <xf numFmtId="0" fontId="10" fillId="0" borderId="3" xfId="0" applyNumberFormat="1" applyFont="1" applyFill="1" applyBorder="1" applyAlignment="1">
      <alignment horizontal="left" vertical="center" wrapText="1"/>
    </xf>
    <xf numFmtId="0" fontId="137" fillId="0" borderId="3" xfId="0" applyFont="1" applyFill="1" applyBorder="1" applyAlignment="1">
      <alignment horizontal="left" vertical="center" wrapText="1"/>
    </xf>
    <xf numFmtId="4" fontId="52" fillId="0" borderId="3" xfId="0" applyNumberFormat="1" applyFont="1" applyFill="1" applyBorder="1" applyAlignment="1">
      <alignment vertical="center"/>
    </xf>
    <xf numFmtId="171" fontId="41" fillId="0" borderId="3" xfId="112" applyFont="1" applyFill="1" applyBorder="1" applyAlignment="1">
      <alignment vertical="center"/>
    </xf>
    <xf numFmtId="0" fontId="23" fillId="0" borderId="0" xfId="0" applyFont="1" applyFill="1" applyAlignment="1">
      <alignment horizontal="center" vertical="center"/>
    </xf>
    <xf numFmtId="0" fontId="23" fillId="0" borderId="0" xfId="0" applyFont="1" applyFill="1" applyAlignment="1">
      <alignment vertical="center"/>
    </xf>
    <xf numFmtId="3" fontId="23" fillId="0" borderId="0" xfId="0" applyNumberFormat="1" applyFont="1" applyFill="1" applyAlignment="1">
      <alignment vertical="center"/>
    </xf>
    <xf numFmtId="0" fontId="137" fillId="0" borderId="3" xfId="0" applyFont="1" applyBorder="1" applyAlignment="1">
      <alignment horizontal="center" vertical="center" wrapText="1"/>
    </xf>
    <xf numFmtId="0" fontId="137" fillId="0" borderId="3" xfId="0" applyFont="1" applyBorder="1" applyAlignment="1">
      <alignment horizontal="left" vertical="center" wrapText="1"/>
    </xf>
    <xf numFmtId="0" fontId="152" fillId="0" borderId="3" xfId="0" applyFont="1" applyBorder="1" applyAlignment="1">
      <alignment horizontal="left" vertical="center" wrapText="1"/>
    </xf>
    <xf numFmtId="4" fontId="10" fillId="0" borderId="3" xfId="107" applyNumberFormat="1" applyFont="1" applyFill="1" applyBorder="1" applyAlignment="1">
      <alignment horizontal="right" vertical="center"/>
    </xf>
    <xf numFmtId="4" fontId="137" fillId="0" borderId="3" xfId="107" applyNumberFormat="1" applyFont="1" applyBorder="1" applyAlignment="1">
      <alignment horizontal="right" vertical="center"/>
    </xf>
    <xf numFmtId="0" fontId="183" fillId="0" borderId="3" xfId="0" applyFont="1" applyBorder="1" applyAlignment="1">
      <alignment vertical="center" wrapText="1"/>
    </xf>
    <xf numFmtId="0" fontId="183" fillId="37" borderId="3" xfId="0" applyFont="1" applyFill="1" applyBorder="1" applyAlignment="1">
      <alignment vertical="center" wrapText="1"/>
    </xf>
    <xf numFmtId="4" fontId="10" fillId="0" borderId="13" xfId="0" applyNumberFormat="1" applyFont="1" applyFill="1" applyBorder="1" applyAlignment="1">
      <alignment horizontal="center" vertical="center" wrapText="1"/>
    </xf>
    <xf numFmtId="0" fontId="3" fillId="0" borderId="0" xfId="0" applyFont="1" applyAlignment="1">
      <alignment vertical="center" wrapText="1"/>
    </xf>
    <xf numFmtId="4" fontId="3" fillId="0" borderId="0" xfId="0" applyNumberFormat="1" applyFont="1" applyAlignment="1">
      <alignment vertical="center" wrapText="1"/>
    </xf>
    <xf numFmtId="4" fontId="3" fillId="0" borderId="0" xfId="0" applyNumberFormat="1" applyFont="1" applyFill="1" applyAlignment="1">
      <alignment vertical="center" wrapText="1"/>
    </xf>
    <xf numFmtId="4" fontId="10" fillId="0" borderId="0" xfId="0" applyNumberFormat="1" applyFont="1" applyAlignment="1">
      <alignment horizontal="right" vertical="center" wrapText="1"/>
    </xf>
    <xf numFmtId="4" fontId="10" fillId="0" borderId="0" xfId="0" applyNumberFormat="1" applyFont="1" applyAlignment="1">
      <alignment horizontal="center" vertical="center" wrapText="1"/>
    </xf>
    <xf numFmtId="4" fontId="12" fillId="0" borderId="0" xfId="0" applyNumberFormat="1" applyFont="1" applyAlignment="1">
      <alignment horizontal="center" vertical="center" wrapText="1"/>
    </xf>
    <xf numFmtId="4" fontId="3" fillId="42" borderId="0" xfId="0" applyNumberFormat="1" applyFont="1" applyFill="1" applyAlignment="1">
      <alignment vertical="center" wrapText="1"/>
    </xf>
    <xf numFmtId="0" fontId="137" fillId="0" borderId="0" xfId="0" applyFont="1" applyAlignment="1">
      <alignment vertical="center"/>
    </xf>
    <xf numFmtId="0" fontId="145" fillId="0" borderId="3" xfId="0" applyFont="1" applyBorder="1" applyAlignment="1">
      <alignment horizontal="center" vertical="center" wrapText="1"/>
    </xf>
    <xf numFmtId="39" fontId="145" fillId="0" borderId="3" xfId="107" applyNumberFormat="1" applyFont="1" applyBorder="1" applyAlignment="1">
      <alignment horizontal="right" vertical="center"/>
    </xf>
    <xf numFmtId="0" fontId="145" fillId="43" borderId="0" xfId="0" applyFont="1" applyFill="1" applyAlignment="1">
      <alignment vertical="center"/>
    </xf>
    <xf numFmtId="4" fontId="137" fillId="0" borderId="3" xfId="107" applyNumberFormat="1" applyFont="1" applyBorder="1" applyAlignment="1">
      <alignment vertical="center"/>
    </xf>
    <xf numFmtId="0" fontId="137" fillId="0" borderId="0" xfId="0" applyFont="1" applyBorder="1" applyAlignment="1">
      <alignment horizontal="center" vertical="center" wrapText="1"/>
    </xf>
    <xf numFmtId="0" fontId="152" fillId="0" borderId="0" xfId="0" applyFont="1" applyBorder="1" applyAlignment="1">
      <alignment horizontal="left" vertical="center" wrapText="1"/>
    </xf>
    <xf numFmtId="39" fontId="137" fillId="0" borderId="0" xfId="107" applyNumberFormat="1" applyFont="1" applyBorder="1" applyAlignment="1">
      <alignment horizontal="right" vertical="center"/>
    </xf>
    <xf numFmtId="0" fontId="137" fillId="0" borderId="0" xfId="0" applyFont="1" applyBorder="1" applyAlignment="1">
      <alignment horizontal="right" vertical="center" wrapText="1"/>
    </xf>
    <xf numFmtId="0" fontId="137" fillId="0" borderId="0" xfId="0" applyFont="1" applyBorder="1" applyAlignment="1">
      <alignment vertical="center"/>
    </xf>
    <xf numFmtId="0" fontId="150" fillId="37" borderId="0" xfId="0" applyFont="1" applyFill="1" applyAlignment="1">
      <alignment vertical="center"/>
    </xf>
    <xf numFmtId="0" fontId="145" fillId="36" borderId="0" xfId="0" applyFont="1" applyFill="1" applyAlignment="1">
      <alignment vertical="center"/>
    </xf>
    <xf numFmtId="0" fontId="145" fillId="44" borderId="3" xfId="0" applyFont="1" applyFill="1" applyBorder="1" applyAlignment="1">
      <alignment horizontal="center" vertical="center" wrapText="1"/>
    </xf>
    <xf numFmtId="39" fontId="145" fillId="44" borderId="3" xfId="107" applyNumberFormat="1" applyFont="1" applyFill="1" applyBorder="1" applyAlignment="1">
      <alignment horizontal="right" vertical="center"/>
    </xf>
    <xf numFmtId="0" fontId="145" fillId="44" borderId="3" xfId="0" applyFont="1" applyFill="1" applyBorder="1" applyAlignment="1">
      <alignment horizontal="right" vertical="center" wrapText="1"/>
    </xf>
    <xf numFmtId="0" fontId="145" fillId="44" borderId="3" xfId="0" applyFont="1" applyFill="1" applyBorder="1" applyAlignment="1">
      <alignment horizontal="left" vertical="center" wrapText="1"/>
    </xf>
    <xf numFmtId="0" fontId="145" fillId="45" borderId="3" xfId="0" applyFont="1" applyFill="1" applyBorder="1" applyAlignment="1">
      <alignment horizontal="center" vertical="center" wrapText="1"/>
    </xf>
    <xf numFmtId="39" fontId="145" fillId="45" borderId="3" xfId="107" applyNumberFormat="1" applyFont="1" applyFill="1" applyBorder="1" applyAlignment="1">
      <alignment horizontal="right" vertical="center"/>
    </xf>
    <xf numFmtId="0" fontId="145" fillId="45" borderId="3" xfId="0" applyFont="1" applyFill="1" applyBorder="1" applyAlignment="1">
      <alignment horizontal="right" vertical="center" wrapText="1"/>
    </xf>
    <xf numFmtId="0" fontId="145" fillId="45" borderId="3" xfId="0" applyFont="1" applyFill="1" applyBorder="1" applyAlignment="1">
      <alignment horizontal="left" vertical="center" wrapText="1"/>
    </xf>
    <xf numFmtId="4" fontId="145" fillId="45" borderId="3" xfId="107" applyNumberFormat="1" applyFont="1" applyFill="1" applyBorder="1" applyAlignment="1">
      <alignment vertical="center"/>
    </xf>
    <xf numFmtId="0" fontId="145" fillId="46" borderId="3" xfId="0" applyFont="1" applyFill="1" applyBorder="1" applyAlignment="1">
      <alignment horizontal="center" vertical="center" wrapText="1"/>
    </xf>
    <xf numFmtId="39" fontId="145" fillId="46" borderId="3" xfId="107" applyNumberFormat="1" applyFont="1" applyFill="1" applyBorder="1" applyAlignment="1">
      <alignment horizontal="right" vertical="center"/>
    </xf>
    <xf numFmtId="0" fontId="145" fillId="46" borderId="3" xfId="0" applyFont="1" applyFill="1" applyBorder="1" applyAlignment="1">
      <alignment horizontal="right" vertical="center" wrapText="1"/>
    </xf>
    <xf numFmtId="4" fontId="137" fillId="0" borderId="3" xfId="107" applyNumberFormat="1" applyFont="1" applyFill="1" applyBorder="1" applyAlignment="1">
      <alignment vertical="center"/>
    </xf>
    <xf numFmtId="0" fontId="137" fillId="44" borderId="0" xfId="0" applyFont="1" applyFill="1" applyAlignment="1">
      <alignment vertical="center"/>
    </xf>
    <xf numFmtId="39" fontId="137" fillId="44" borderId="11" xfId="107" applyNumberFormat="1" applyFont="1" applyFill="1" applyBorder="1" applyAlignment="1">
      <alignment horizontal="right" vertical="center"/>
    </xf>
    <xf numFmtId="4" fontId="137" fillId="44" borderId="3" xfId="0" applyNumberFormat="1" applyFont="1" applyFill="1" applyBorder="1" applyAlignment="1">
      <alignment vertical="center"/>
    </xf>
    <xf numFmtId="4" fontId="144" fillId="44" borderId="3" xfId="0" applyNumberFormat="1" applyFont="1" applyFill="1" applyBorder="1" applyAlignment="1">
      <alignment vertical="center" wrapText="1"/>
    </xf>
    <xf numFmtId="4" fontId="145" fillId="44" borderId="3" xfId="0" applyNumberFormat="1" applyFont="1" applyFill="1" applyBorder="1" applyAlignment="1">
      <alignment vertical="center"/>
    </xf>
    <xf numFmtId="39" fontId="137" fillId="44" borderId="3" xfId="107" applyNumberFormat="1" applyFont="1" applyFill="1" applyBorder="1" applyAlignment="1">
      <alignment horizontal="right" vertical="center"/>
    </xf>
    <xf numFmtId="4" fontId="10" fillId="44" borderId="3" xfId="0" applyNumberFormat="1" applyFont="1" applyFill="1" applyBorder="1" applyAlignment="1">
      <alignment vertical="center" wrapText="1"/>
    </xf>
    <xf numFmtId="4" fontId="150" fillId="44" borderId="3" xfId="0" applyNumberFormat="1" applyFont="1" applyFill="1" applyBorder="1" applyAlignment="1">
      <alignment horizontal="center" vertical="center" wrapText="1"/>
    </xf>
    <xf numFmtId="4" fontId="171" fillId="44" borderId="3" xfId="0" applyNumberFormat="1" applyFont="1" applyFill="1" applyBorder="1" applyAlignment="1">
      <alignment horizontal="left" vertical="center" wrapText="1"/>
    </xf>
    <xf numFmtId="4" fontId="150" fillId="44" borderId="3" xfId="107" applyNumberFormat="1" applyFont="1" applyFill="1" applyBorder="1" applyAlignment="1">
      <alignment horizontal="right" vertical="center"/>
    </xf>
    <xf numFmtId="4" fontId="150" fillId="44" borderId="3" xfId="0" applyNumberFormat="1" applyFont="1" applyFill="1" applyBorder="1" applyAlignment="1">
      <alignment horizontal="right" vertical="center" wrapText="1"/>
    </xf>
    <xf numFmtId="4" fontId="139" fillId="44" borderId="3" xfId="0" applyNumberFormat="1" applyFont="1" applyFill="1" applyBorder="1" applyAlignment="1">
      <alignment vertical="center" wrapText="1"/>
    </xf>
    <xf numFmtId="0" fontId="137" fillId="44" borderId="3" xfId="199" applyFont="1" applyFill="1" applyBorder="1" applyAlignment="1">
      <alignment horizontal="center" vertical="center" wrapText="1"/>
    </xf>
    <xf numFmtId="0" fontId="145" fillId="44" borderId="3" xfId="199" applyFont="1" applyFill="1" applyBorder="1" applyAlignment="1">
      <alignment horizontal="left" vertical="center" wrapText="1"/>
    </xf>
    <xf numFmtId="171" fontId="137" fillId="44" borderId="3" xfId="112" applyFont="1" applyFill="1" applyBorder="1" applyAlignment="1">
      <alignment vertical="center"/>
    </xf>
    <xf numFmtId="0" fontId="145" fillId="44" borderId="3" xfId="199" applyFont="1" applyFill="1" applyBorder="1" applyAlignment="1">
      <alignment horizontal="right" vertical="center" wrapText="1"/>
    </xf>
    <xf numFmtId="0" fontId="145" fillId="44" borderId="3" xfId="199" applyFont="1" applyFill="1" applyBorder="1" applyAlignment="1">
      <alignment horizontal="center" vertical="center" wrapText="1"/>
    </xf>
    <xf numFmtId="171" fontId="145" fillId="44" borderId="3" xfId="112" applyFont="1" applyFill="1" applyBorder="1" applyAlignment="1">
      <alignment vertical="center"/>
    </xf>
    <xf numFmtId="0" fontId="152" fillId="44" borderId="3" xfId="199" applyFont="1" applyFill="1" applyBorder="1" applyAlignment="1">
      <alignment horizontal="left" vertical="center" wrapText="1"/>
    </xf>
    <xf numFmtId="0" fontId="137" fillId="44" borderId="3" xfId="199" applyFont="1" applyFill="1" applyBorder="1" applyAlignment="1">
      <alignment horizontal="right" vertical="center" wrapText="1"/>
    </xf>
    <xf numFmtId="217" fontId="145" fillId="44" borderId="3" xfId="0" applyNumberFormat="1" applyFont="1" applyFill="1" applyBorder="1" applyAlignment="1">
      <alignment horizontal="right" vertical="center" wrapText="1"/>
    </xf>
    <xf numFmtId="0" fontId="137" fillId="44" borderId="3" xfId="0" applyFont="1" applyFill="1" applyBorder="1" applyAlignment="1">
      <alignment horizontal="center" vertical="center" wrapText="1"/>
    </xf>
    <xf numFmtId="0" fontId="137" fillId="44" borderId="3" xfId="0" applyFont="1" applyFill="1" applyBorder="1" applyAlignment="1">
      <alignment horizontal="left" vertical="center" wrapText="1"/>
    </xf>
    <xf numFmtId="0" fontId="137" fillId="44" borderId="3" xfId="0" applyFont="1" applyFill="1" applyBorder="1" applyAlignment="1">
      <alignment horizontal="right" vertical="center" wrapText="1"/>
    </xf>
    <xf numFmtId="0" fontId="152" fillId="44" borderId="3" xfId="0" applyFont="1" applyFill="1" applyBorder="1" applyAlignment="1">
      <alignment horizontal="left" vertical="center" wrapText="1"/>
    </xf>
    <xf numFmtId="0" fontId="184" fillId="44" borderId="0" xfId="0" applyFont="1" applyFill="1" applyAlignment="1">
      <alignment vertical="center"/>
    </xf>
    <xf numFmtId="173" fontId="38" fillId="0" borderId="3" xfId="107" applyFont="1" applyBorder="1" applyAlignment="1">
      <alignment horizontal="right" vertical="center" wrapText="1"/>
    </xf>
    <xf numFmtId="4" fontId="185" fillId="0" borderId="0" xfId="0" applyNumberFormat="1" applyFont="1" applyAlignment="1">
      <alignment vertical="center"/>
    </xf>
    <xf numFmtId="4" fontId="3" fillId="0" borderId="13" xfId="0" applyNumberFormat="1" applyFont="1" applyFill="1" applyBorder="1" applyAlignment="1">
      <alignment horizontal="right" vertical="center" wrapText="1"/>
    </xf>
    <xf numFmtId="175" fontId="11" fillId="44" borderId="3" xfId="0" applyNumberFormat="1" applyFont="1" applyFill="1" applyBorder="1" applyAlignment="1">
      <alignment horizontal="center" vertical="center" wrapText="1"/>
    </xf>
    <xf numFmtId="175" fontId="11" fillId="44" borderId="3" xfId="0" applyNumberFormat="1" applyFont="1" applyFill="1" applyBorder="1" applyAlignment="1">
      <alignment horizontal="right" vertical="center" wrapText="1"/>
    </xf>
    <xf numFmtId="175" fontId="12" fillId="44" borderId="3" xfId="0" applyNumberFormat="1" applyFont="1" applyFill="1" applyBorder="1" applyAlignment="1">
      <alignment horizontal="right" vertical="center" wrapText="1"/>
    </xf>
    <xf numFmtId="174" fontId="4" fillId="0" borderId="3" xfId="0" applyNumberFormat="1" applyFont="1" applyBorder="1" applyAlignment="1">
      <alignment vertical="center" wrapText="1"/>
    </xf>
    <xf numFmtId="4" fontId="10" fillId="0" borderId="13" xfId="0" applyNumberFormat="1" applyFont="1" applyFill="1" applyBorder="1" applyAlignment="1">
      <alignment horizontal="right" vertical="center" wrapText="1"/>
    </xf>
    <xf numFmtId="4" fontId="3" fillId="0" borderId="31" xfId="107" applyNumberFormat="1" applyFont="1" applyFill="1" applyBorder="1" applyAlignment="1">
      <alignment horizontal="right" vertical="center" wrapText="1"/>
    </xf>
    <xf numFmtId="175" fontId="3" fillId="0" borderId="12" xfId="0" applyNumberFormat="1" applyFont="1" applyFill="1" applyBorder="1" applyAlignment="1">
      <alignment horizontal="right" vertical="center"/>
    </xf>
    <xf numFmtId="175" fontId="50" fillId="0" borderId="0" xfId="0" applyNumberFormat="1" applyFont="1" applyFill="1" applyAlignment="1">
      <alignment vertical="center"/>
    </xf>
    <xf numFmtId="175" fontId="10" fillId="0" borderId="3" xfId="273" applyNumberFormat="1" applyFont="1" applyFill="1" applyBorder="1" applyAlignment="1">
      <alignment horizontal="right" vertical="center"/>
    </xf>
    <xf numFmtId="175" fontId="3" fillId="0" borderId="3" xfId="273" applyNumberFormat="1" applyFont="1" applyFill="1" applyBorder="1" applyAlignment="1">
      <alignment horizontal="right" vertical="center"/>
    </xf>
    <xf numFmtId="175" fontId="3" fillId="0" borderId="3" xfId="0" applyNumberFormat="1" applyFont="1" applyFill="1" applyBorder="1" applyAlignment="1">
      <alignment horizontal="right" vertical="center"/>
    </xf>
    <xf numFmtId="175" fontId="3" fillId="0" borderId="3" xfId="0" applyNumberFormat="1" applyFont="1" applyFill="1" applyBorder="1" applyAlignment="1">
      <alignment vertical="center"/>
    </xf>
    <xf numFmtId="175" fontId="12" fillId="0" borderId="3" xfId="0" applyNumberFormat="1" applyFont="1" applyFill="1" applyBorder="1" applyAlignment="1">
      <alignment horizontal="right" vertical="center" wrapText="1"/>
    </xf>
    <xf numFmtId="175" fontId="12" fillId="0" borderId="3" xfId="273" applyNumberFormat="1" applyFont="1" applyFill="1" applyBorder="1" applyAlignment="1">
      <alignment horizontal="right" vertical="center"/>
    </xf>
    <xf numFmtId="175" fontId="12" fillId="0" borderId="3" xfId="0" applyNumberFormat="1" applyFont="1" applyFill="1" applyBorder="1" applyAlignment="1">
      <alignment horizontal="right" vertical="center"/>
    </xf>
    <xf numFmtId="175" fontId="10" fillId="0" borderId="3" xfId="0" applyNumberFormat="1" applyFont="1" applyFill="1" applyBorder="1" applyAlignment="1">
      <alignment horizontal="right" vertical="center"/>
    </xf>
    <xf numFmtId="175" fontId="12" fillId="0" borderId="3" xfId="0" applyNumberFormat="1" applyFont="1" applyFill="1" applyBorder="1" applyAlignment="1">
      <alignment vertical="center"/>
    </xf>
    <xf numFmtId="0" fontId="10" fillId="0" borderId="3" xfId="0" applyNumberFormat="1" applyFont="1" applyFill="1" applyBorder="1" applyAlignment="1">
      <alignment vertical="center" wrapText="1"/>
    </xf>
    <xf numFmtId="175" fontId="12" fillId="0" borderId="3" xfId="273" applyNumberFormat="1" applyFont="1" applyFill="1" applyBorder="1" applyAlignment="1">
      <alignment horizontal="right" vertical="center" wrapText="1"/>
    </xf>
    <xf numFmtId="175" fontId="10" fillId="0" borderId="3" xfId="273" applyNumberFormat="1" applyFont="1" applyFill="1" applyBorder="1" applyAlignment="1">
      <alignment horizontal="right" vertical="center" wrapText="1"/>
    </xf>
    <xf numFmtId="175" fontId="10" fillId="0" borderId="3" xfId="0" applyNumberFormat="1" applyFont="1" applyFill="1" applyBorder="1" applyAlignment="1">
      <alignment vertical="center"/>
    </xf>
    <xf numFmtId="175" fontId="11" fillId="0" borderId="3" xfId="0" applyNumberFormat="1" applyFont="1" applyFill="1" applyBorder="1" applyAlignment="1">
      <alignment vertical="center"/>
    </xf>
    <xf numFmtId="0" fontId="62" fillId="0" borderId="0" xfId="0" applyFont="1" applyFill="1" applyAlignment="1">
      <alignment vertical="center"/>
    </xf>
    <xf numFmtId="4" fontId="3" fillId="0" borderId="3" xfId="114" applyNumberFormat="1" applyFont="1" applyFill="1" applyBorder="1" applyAlignment="1">
      <alignment horizontal="center" vertical="center" wrapText="1"/>
    </xf>
    <xf numFmtId="0" fontId="22" fillId="0" borderId="0" xfId="0" applyFont="1" applyFill="1" applyAlignment="1">
      <alignment vertical="center"/>
    </xf>
    <xf numFmtId="4" fontId="23" fillId="0" borderId="0" xfId="0" applyNumberFormat="1" applyFont="1" applyFill="1" applyAlignment="1">
      <alignment vertical="center"/>
    </xf>
    <xf numFmtId="4" fontId="64" fillId="0" borderId="0" xfId="0" applyNumberFormat="1" applyFont="1" applyFill="1" applyAlignment="1">
      <alignment vertical="center"/>
    </xf>
    <xf numFmtId="0" fontId="25" fillId="0" borderId="0" xfId="0" applyFont="1" applyFill="1" applyAlignment="1">
      <alignment horizontal="right" vertical="center"/>
    </xf>
    <xf numFmtId="0" fontId="64" fillId="0" borderId="0" xfId="0" applyFont="1" applyFill="1" applyAlignment="1">
      <alignment horizontal="center" vertical="center"/>
    </xf>
    <xf numFmtId="0" fontId="64" fillId="0" borderId="0" xfId="0" applyFont="1" applyFill="1" applyAlignment="1">
      <alignment horizontal="right" vertical="center"/>
    </xf>
    <xf numFmtId="4" fontId="25" fillId="0" borderId="3" xfId="0" applyNumberFormat="1" applyFont="1" applyFill="1" applyBorder="1" applyAlignment="1">
      <alignment horizontal="center" vertical="center" wrapText="1"/>
    </xf>
    <xf numFmtId="4" fontId="65" fillId="0" borderId="3" xfId="0" applyNumberFormat="1" applyFont="1" applyFill="1" applyBorder="1" applyAlignment="1">
      <alignment horizontal="center" vertical="center" wrapText="1"/>
    </xf>
    <xf numFmtId="0" fontId="64" fillId="0" borderId="3" xfId="0" applyFont="1" applyFill="1" applyBorder="1" applyAlignment="1">
      <alignment horizontal="center" vertical="center" wrapText="1"/>
    </xf>
    <xf numFmtId="4" fontId="64" fillId="0" borderId="3" xfId="0" applyNumberFormat="1" applyFont="1" applyFill="1" applyBorder="1" applyAlignment="1">
      <alignment horizontal="center" vertical="center" wrapText="1"/>
    </xf>
    <xf numFmtId="0" fontId="64" fillId="0" borderId="0" xfId="0" applyFont="1" applyFill="1" applyAlignment="1">
      <alignment vertical="center"/>
    </xf>
    <xf numFmtId="3" fontId="25" fillId="0" borderId="3" xfId="0" applyNumberFormat="1" applyFont="1" applyFill="1" applyBorder="1" applyAlignment="1">
      <alignment horizontal="center" vertical="center" wrapText="1"/>
    </xf>
    <xf numFmtId="3" fontId="25" fillId="0" borderId="3" xfId="0" applyNumberFormat="1" applyFont="1" applyFill="1" applyBorder="1" applyAlignment="1">
      <alignment vertical="center" wrapText="1"/>
    </xf>
    <xf numFmtId="4" fontId="25" fillId="0" borderId="3" xfId="0" applyNumberFormat="1" applyFont="1" applyFill="1" applyBorder="1" applyAlignment="1">
      <alignment horizontal="right" vertical="center" wrapText="1"/>
    </xf>
    <xf numFmtId="4" fontId="65" fillId="0" borderId="3" xfId="0" applyNumberFormat="1" applyFont="1" applyFill="1" applyBorder="1" applyAlignment="1">
      <alignment horizontal="right" vertical="center" wrapText="1"/>
    </xf>
    <xf numFmtId="9" fontId="25" fillId="0" borderId="3" xfId="284" applyFont="1" applyFill="1" applyBorder="1" applyAlignment="1">
      <alignment horizontal="center" vertical="center" wrapText="1"/>
    </xf>
    <xf numFmtId="3" fontId="25" fillId="0" borderId="0" xfId="0" applyNumberFormat="1" applyFont="1" applyFill="1" applyAlignment="1">
      <alignment vertical="center"/>
    </xf>
    <xf numFmtId="3" fontId="25" fillId="47" borderId="3" xfId="0" applyNumberFormat="1" applyFont="1" applyFill="1" applyBorder="1" applyAlignment="1">
      <alignment horizontal="center" vertical="center" wrapText="1"/>
    </xf>
    <xf numFmtId="3" fontId="25" fillId="47" borderId="3" xfId="0" applyNumberFormat="1" applyFont="1" applyFill="1" applyBorder="1" applyAlignment="1">
      <alignment vertical="center" wrapText="1"/>
    </xf>
    <xf numFmtId="4" fontId="25" fillId="47" borderId="3" xfId="0" applyNumberFormat="1" applyFont="1" applyFill="1" applyBorder="1" applyAlignment="1">
      <alignment horizontal="right" vertical="center" wrapText="1"/>
    </xf>
    <xf numFmtId="4" fontId="65" fillId="47" borderId="3" xfId="0" applyNumberFormat="1" applyFont="1" applyFill="1" applyBorder="1" applyAlignment="1">
      <alignment horizontal="right" vertical="center" wrapText="1"/>
    </xf>
    <xf numFmtId="9" fontId="25" fillId="47" borderId="3" xfId="284" applyFont="1" applyFill="1" applyBorder="1" applyAlignment="1">
      <alignment horizontal="center" vertical="center" wrapText="1"/>
    </xf>
    <xf numFmtId="3" fontId="25" fillId="47" borderId="0" xfId="0" applyNumberFormat="1" applyFont="1" applyFill="1" applyAlignment="1">
      <alignment vertical="center"/>
    </xf>
    <xf numFmtId="4" fontId="23" fillId="47" borderId="3" xfId="0" applyNumberFormat="1" applyFont="1" applyFill="1" applyBorder="1" applyAlignment="1">
      <alignment horizontal="right" vertical="center" wrapText="1"/>
    </xf>
    <xf numFmtId="3" fontId="23" fillId="47" borderId="3" xfId="0" applyNumberFormat="1" applyFont="1" applyFill="1" applyBorder="1" applyAlignment="1">
      <alignment horizontal="right" vertical="center" wrapText="1"/>
    </xf>
    <xf numFmtId="3" fontId="23" fillId="47" borderId="3" xfId="0" applyNumberFormat="1" applyFont="1" applyFill="1" applyBorder="1" applyAlignment="1">
      <alignment horizontal="center" vertical="center" wrapText="1"/>
    </xf>
    <xf numFmtId="3" fontId="23" fillId="47" borderId="0" xfId="0" applyNumberFormat="1" applyFont="1" applyFill="1" applyAlignment="1">
      <alignment vertical="center"/>
    </xf>
    <xf numFmtId="4" fontId="64" fillId="47" borderId="3" xfId="0" applyNumberFormat="1" applyFont="1" applyFill="1" applyBorder="1" applyAlignment="1">
      <alignment horizontal="right"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vertical="center" wrapText="1"/>
    </xf>
    <xf numFmtId="4" fontId="23" fillId="0" borderId="3" xfId="0" applyNumberFormat="1" applyFont="1" applyFill="1" applyBorder="1" applyAlignment="1">
      <alignment horizontal="right" vertical="center" wrapText="1"/>
    </xf>
    <xf numFmtId="4" fontId="64" fillId="0" borderId="3" xfId="0" applyNumberFormat="1" applyFont="1" applyFill="1" applyBorder="1" applyAlignment="1">
      <alignment horizontal="right" vertical="center" wrapText="1"/>
    </xf>
    <xf numFmtId="3" fontId="23" fillId="0" borderId="3" xfId="0" applyNumberFormat="1" applyFont="1" applyFill="1" applyBorder="1" applyAlignment="1">
      <alignment horizontal="center" vertical="center" wrapText="1"/>
    </xf>
    <xf numFmtId="0" fontId="23" fillId="0" borderId="3" xfId="0" applyFont="1" applyFill="1" applyBorder="1" applyAlignment="1">
      <alignment horizontal="left" vertical="center" wrapText="1"/>
    </xf>
    <xf numFmtId="4" fontId="23" fillId="0" borderId="3" xfId="0" applyNumberFormat="1" applyFont="1" applyFill="1" applyBorder="1" applyAlignment="1">
      <alignment horizontal="left" vertical="center" wrapText="1"/>
    </xf>
    <xf numFmtId="3" fontId="25" fillId="0" borderId="3" xfId="0" applyNumberFormat="1" applyFont="1" applyFill="1" applyBorder="1" applyAlignment="1">
      <alignment horizontal="left" vertical="center" wrapText="1"/>
    </xf>
    <xf numFmtId="3" fontId="25" fillId="0" borderId="3" xfId="0" applyNumberFormat="1" applyFont="1" applyFill="1" applyBorder="1" applyAlignment="1">
      <alignment horizontal="right" vertical="center" wrapText="1"/>
    </xf>
    <xf numFmtId="3" fontId="25" fillId="0" borderId="0" xfId="0" applyNumberFormat="1" applyFont="1" applyFill="1" applyAlignment="1">
      <alignment horizontal="right" vertical="center"/>
    </xf>
    <xf numFmtId="0" fontId="25" fillId="0" borderId="3" xfId="0" applyFont="1" applyFill="1" applyBorder="1" applyAlignment="1">
      <alignment horizontal="center" vertical="center" wrapText="1"/>
    </xf>
    <xf numFmtId="0" fontId="25" fillId="0" borderId="3" xfId="0" applyFont="1" applyFill="1" applyBorder="1" applyAlignment="1">
      <alignment vertical="center" wrapText="1"/>
    </xf>
    <xf numFmtId="4" fontId="25" fillId="0" borderId="3" xfId="0" applyNumberFormat="1" applyFont="1" applyFill="1" applyBorder="1" applyAlignment="1">
      <alignment vertical="center" wrapText="1"/>
    </xf>
    <xf numFmtId="4" fontId="25" fillId="0" borderId="3" xfId="107" applyNumberFormat="1" applyFont="1" applyFill="1" applyBorder="1" applyAlignment="1">
      <alignment vertical="center" wrapText="1"/>
    </xf>
    <xf numFmtId="0" fontId="25" fillId="0" borderId="0" xfId="0" applyFont="1" applyFill="1" applyAlignment="1">
      <alignment vertical="center" wrapText="1"/>
    </xf>
    <xf numFmtId="4" fontId="179" fillId="0" borderId="3" xfId="0" applyNumberFormat="1" applyFont="1" applyFill="1" applyBorder="1" applyAlignment="1">
      <alignment vertical="center" wrapText="1"/>
    </xf>
    <xf numFmtId="4" fontId="7" fillId="41" borderId="9" xfId="0" applyNumberFormat="1" applyFont="1" applyFill="1" applyBorder="1" applyAlignment="1">
      <alignment horizontal="center" vertical="center" wrapText="1"/>
    </xf>
    <xf numFmtId="4" fontId="10" fillId="41" borderId="11" xfId="0" applyNumberFormat="1" applyFont="1" applyFill="1" applyBorder="1" applyAlignment="1">
      <alignment horizontal="center" vertical="center" wrapText="1"/>
    </xf>
    <xf numFmtId="49" fontId="141" fillId="0" borderId="3" xfId="0" applyNumberFormat="1" applyFont="1" applyBorder="1" applyAlignment="1">
      <alignment horizontal="center" vertical="center" wrapText="1"/>
    </xf>
    <xf numFmtId="49" fontId="186" fillId="40" borderId="3" xfId="0" applyNumberFormat="1" applyFont="1" applyFill="1" applyBorder="1" applyAlignment="1">
      <alignment horizontal="center" vertical="center" wrapText="1"/>
    </xf>
    <xf numFmtId="49" fontId="42" fillId="0" borderId="3" xfId="0" applyNumberFormat="1" applyFont="1" applyFill="1" applyBorder="1" applyAlignment="1">
      <alignment horizontal="center" vertical="center" wrapText="1"/>
    </xf>
    <xf numFmtId="49" fontId="42" fillId="0" borderId="3" xfId="0" applyNumberFormat="1" applyFont="1" applyBorder="1" applyAlignment="1">
      <alignment horizontal="center" vertical="center" wrapText="1"/>
    </xf>
    <xf numFmtId="49" fontId="177" fillId="0" borderId="3" xfId="0" applyNumberFormat="1" applyFont="1" applyBorder="1" applyAlignment="1">
      <alignment horizontal="center" vertical="center" wrapText="1"/>
    </xf>
    <xf numFmtId="49" fontId="140" fillId="0" borderId="0" xfId="0" applyNumberFormat="1" applyFont="1" applyAlignment="1">
      <alignment horizontal="center" vertical="center"/>
    </xf>
    <xf numFmtId="49" fontId="42" fillId="41" borderId="3" xfId="0" applyNumberFormat="1" applyFont="1" applyFill="1" applyBorder="1" applyAlignment="1">
      <alignment horizontal="center" vertical="center" wrapText="1"/>
    </xf>
    <xf numFmtId="175" fontId="3" fillId="0" borderId="3" xfId="107" applyNumberFormat="1" applyFont="1" applyFill="1" applyBorder="1" applyAlignment="1">
      <alignment horizontal="right" vertical="center"/>
    </xf>
    <xf numFmtId="9" fontId="137" fillId="0" borderId="3" xfId="284" applyFont="1" applyBorder="1" applyAlignment="1">
      <alignment horizontal="center" vertical="center"/>
    </xf>
    <xf numFmtId="3" fontId="49" fillId="0" borderId="3" xfId="0" applyNumberFormat="1" applyFont="1" applyFill="1" applyBorder="1" applyAlignment="1">
      <alignment horizontal="center" vertical="center" wrapText="1"/>
    </xf>
    <xf numFmtId="4" fontId="49" fillId="0" borderId="3" xfId="0" applyNumberFormat="1" applyFont="1" applyFill="1" applyBorder="1" applyAlignment="1">
      <alignment horizontal="center" vertical="center" wrapText="1"/>
    </xf>
    <xf numFmtId="3" fontId="66" fillId="0" borderId="3" xfId="0" applyNumberFormat="1" applyFont="1" applyFill="1" applyBorder="1" applyAlignment="1">
      <alignment horizontal="center" vertical="center" wrapText="1"/>
    </xf>
    <xf numFmtId="3" fontId="66" fillId="0" borderId="3" xfId="0" applyNumberFormat="1" applyFont="1" applyFill="1" applyBorder="1" applyAlignment="1">
      <alignment horizontal="right" vertical="center" wrapText="1"/>
    </xf>
    <xf numFmtId="4" fontId="66" fillId="0" borderId="3" xfId="0" applyNumberFormat="1" applyFont="1" applyFill="1" applyBorder="1" applyAlignment="1">
      <alignment horizontal="center" vertical="center" wrapText="1"/>
    </xf>
    <xf numFmtId="4" fontId="66" fillId="0" borderId="3" xfId="0" applyNumberFormat="1" applyFont="1" applyFill="1" applyBorder="1" applyAlignment="1">
      <alignment horizontal="right" vertical="center" wrapText="1"/>
    </xf>
    <xf numFmtId="9" fontId="66" fillId="0" borderId="3" xfId="284" applyFont="1" applyFill="1" applyBorder="1" applyAlignment="1">
      <alignment horizontal="center" vertical="center" wrapText="1"/>
    </xf>
    <xf numFmtId="3" fontId="49" fillId="0" borderId="3" xfId="0" applyNumberFormat="1" applyFont="1" applyFill="1" applyBorder="1" applyAlignment="1">
      <alignment horizontal="right" vertical="center" wrapText="1"/>
    </xf>
    <xf numFmtId="9" fontId="49" fillId="0" borderId="3" xfId="284" applyFont="1" applyFill="1" applyBorder="1" applyAlignment="1">
      <alignment horizontal="right" vertical="center" wrapText="1"/>
    </xf>
    <xf numFmtId="3" fontId="67" fillId="0" borderId="3" xfId="112" applyNumberFormat="1" applyFont="1" applyFill="1" applyBorder="1" applyAlignment="1">
      <alignment horizontal="right" vertical="center" wrapText="1"/>
    </xf>
    <xf numFmtId="9" fontId="67" fillId="0" borderId="3" xfId="284" applyFont="1" applyFill="1" applyBorder="1" applyAlignment="1">
      <alignment horizontal="right" vertical="center" wrapText="1"/>
    </xf>
    <xf numFmtId="3" fontId="67" fillId="0" borderId="3" xfId="0" applyNumberFormat="1" applyFont="1" applyFill="1" applyBorder="1" applyAlignment="1">
      <alignment horizontal="center" vertical="center" wrapText="1"/>
    </xf>
    <xf numFmtId="3" fontId="67" fillId="0" borderId="3" xfId="0" applyNumberFormat="1" applyFont="1" applyFill="1" applyBorder="1" applyAlignment="1">
      <alignment horizontal="right" vertical="center"/>
    </xf>
    <xf numFmtId="4" fontId="67" fillId="0" borderId="0" xfId="0" applyNumberFormat="1" applyFont="1" applyFill="1" applyAlignment="1">
      <alignment vertical="center" wrapText="1"/>
    </xf>
    <xf numFmtId="4" fontId="49" fillId="0" borderId="3" xfId="0" applyNumberFormat="1" applyFont="1" applyFill="1" applyBorder="1" applyAlignment="1">
      <alignment vertical="center" wrapText="1"/>
    </xf>
    <xf numFmtId="4" fontId="67" fillId="0" borderId="3" xfId="0" applyNumberFormat="1" applyFont="1" applyFill="1" applyBorder="1" applyAlignment="1">
      <alignment vertical="center" wrapText="1"/>
    </xf>
    <xf numFmtId="4" fontId="68" fillId="0" borderId="3" xfId="0" applyNumberFormat="1" applyFont="1" applyFill="1" applyBorder="1" applyAlignment="1">
      <alignment vertical="center" wrapText="1"/>
    </xf>
    <xf numFmtId="4" fontId="141" fillId="0" borderId="3" xfId="0" applyNumberFormat="1" applyFont="1" applyFill="1" applyBorder="1" applyAlignment="1">
      <alignment vertical="center" wrapText="1"/>
    </xf>
    <xf numFmtId="182" fontId="38" fillId="0" borderId="3" xfId="146" applyNumberFormat="1" applyFont="1" applyBorder="1" applyAlignment="1">
      <alignment horizontal="right" vertical="center" wrapText="1"/>
    </xf>
    <xf numFmtId="9" fontId="152" fillId="0" borderId="3" xfId="284" applyFont="1" applyFill="1" applyBorder="1" applyAlignment="1">
      <alignment vertical="center"/>
    </xf>
    <xf numFmtId="0" fontId="143" fillId="0" borderId="3" xfId="0" applyFont="1" applyBorder="1" applyAlignment="1">
      <alignment vertical="center" wrapText="1"/>
    </xf>
    <xf numFmtId="4" fontId="143" fillId="0" borderId="3" xfId="0" applyNumberFormat="1" applyFont="1" applyBorder="1" applyAlignment="1">
      <alignment horizontal="right" vertical="center" wrapText="1"/>
    </xf>
    <xf numFmtId="9" fontId="143" fillId="0" borderId="3" xfId="284" applyFont="1" applyBorder="1" applyAlignment="1">
      <alignment horizontal="center" vertical="center" wrapText="1"/>
    </xf>
    <xf numFmtId="0" fontId="152" fillId="0" borderId="0" xfId="0" applyFont="1" applyAlignment="1">
      <alignment vertical="center"/>
    </xf>
    <xf numFmtId="9" fontId="137" fillId="0" borderId="3" xfId="284" applyFont="1" applyBorder="1" applyAlignment="1">
      <alignment horizontal="center" vertical="center" wrapText="1"/>
    </xf>
    <xf numFmtId="9" fontId="145" fillId="0" borderId="3" xfId="284" applyFont="1" applyBorder="1" applyAlignment="1">
      <alignment horizontal="center" vertical="center" wrapText="1"/>
    </xf>
    <xf numFmtId="175" fontId="139" fillId="0" borderId="3" xfId="0" applyNumberFormat="1" applyFont="1" applyFill="1" applyBorder="1" applyAlignment="1">
      <alignment horizontal="right" vertical="center" wrapText="1"/>
    </xf>
    <xf numFmtId="0" fontId="3" fillId="0" borderId="3" xfId="0" quotePrefix="1" applyNumberFormat="1" applyFont="1" applyFill="1" applyBorder="1" applyAlignment="1">
      <alignment vertical="center" wrapText="1"/>
    </xf>
    <xf numFmtId="175" fontId="41" fillId="0" borderId="0" xfId="0" applyNumberFormat="1" applyFont="1" applyFill="1" applyAlignment="1">
      <alignment horizontal="right" vertical="center"/>
    </xf>
    <xf numFmtId="175" fontId="53" fillId="0" borderId="12" xfId="0" applyNumberFormat="1" applyFont="1" applyFill="1" applyBorder="1" applyAlignment="1">
      <alignment horizontal="center" vertical="center"/>
    </xf>
    <xf numFmtId="175" fontId="53" fillId="0" borderId="0" xfId="0" applyNumberFormat="1" applyFont="1" applyFill="1" applyBorder="1" applyAlignment="1">
      <alignment horizontal="center" vertical="center"/>
    </xf>
    <xf numFmtId="175" fontId="49" fillId="0" borderId="3" xfId="0" applyNumberFormat="1" applyFont="1" applyFill="1" applyBorder="1" applyAlignment="1">
      <alignment horizontal="center" vertical="center" wrapText="1"/>
    </xf>
    <xf numFmtId="175" fontId="66" fillId="0" borderId="3" xfId="0" applyNumberFormat="1" applyFont="1" applyFill="1" applyBorder="1" applyAlignment="1">
      <alignment horizontal="right" vertical="center" wrapText="1"/>
    </xf>
    <xf numFmtId="175" fontId="41" fillId="0" borderId="0" xfId="0" applyNumberFormat="1" applyFont="1" applyFill="1" applyAlignment="1">
      <alignment vertical="center"/>
    </xf>
    <xf numFmtId="4" fontId="70" fillId="0" borderId="0" xfId="0" applyNumberFormat="1" applyFont="1" applyFill="1" applyAlignment="1">
      <alignment vertical="center"/>
    </xf>
    <xf numFmtId="3" fontId="61" fillId="0" borderId="3" xfId="0" applyNumberFormat="1" applyFont="1" applyFill="1" applyBorder="1" applyAlignment="1">
      <alignment horizontal="right" vertical="center" wrapText="1"/>
    </xf>
    <xf numFmtId="3" fontId="72" fillId="0" borderId="3" xfId="0" applyNumberFormat="1" applyFont="1" applyFill="1" applyBorder="1" applyAlignment="1">
      <alignment horizontal="right" vertical="center" wrapText="1"/>
    </xf>
    <xf numFmtId="3" fontId="72" fillId="0" borderId="3" xfId="112" applyNumberFormat="1" applyFont="1" applyFill="1" applyBorder="1" applyAlignment="1">
      <alignment horizontal="right" vertical="center" wrapText="1"/>
    </xf>
    <xf numFmtId="3" fontId="72" fillId="0" borderId="3" xfId="0" applyNumberFormat="1" applyFont="1" applyFill="1" applyBorder="1" applyAlignment="1">
      <alignment horizontal="center" vertical="center" wrapText="1"/>
    </xf>
    <xf numFmtId="3" fontId="72" fillId="0" borderId="3" xfId="0" applyNumberFormat="1" applyFont="1" applyFill="1" applyBorder="1" applyAlignment="1">
      <alignment horizontal="right" vertical="center"/>
    </xf>
    <xf numFmtId="3" fontId="72" fillId="0" borderId="3" xfId="0" applyNumberFormat="1" applyFont="1" applyFill="1" applyBorder="1" applyAlignment="1">
      <alignment vertical="center" wrapText="1"/>
    </xf>
    <xf numFmtId="3" fontId="12" fillId="0" borderId="0" xfId="0" applyNumberFormat="1" applyFont="1" applyFill="1" applyAlignment="1">
      <alignment horizontal="center" vertical="center"/>
    </xf>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3" fillId="0" borderId="3" xfId="0" quotePrefix="1" applyFont="1" applyFill="1" applyBorder="1" applyAlignment="1">
      <alignment vertical="center" wrapText="1"/>
    </xf>
    <xf numFmtId="9" fontId="12" fillId="0" borderId="3" xfId="284" applyFont="1" applyFill="1" applyBorder="1" applyAlignment="1">
      <alignment horizontal="center" vertical="center" wrapText="1"/>
    </xf>
    <xf numFmtId="9" fontId="11" fillId="0" borderId="3" xfId="284" applyFont="1" applyFill="1" applyBorder="1" applyAlignment="1">
      <alignment horizontal="center" vertical="center" wrapText="1"/>
    </xf>
    <xf numFmtId="3" fontId="179" fillId="0" borderId="0" xfId="0" applyNumberFormat="1" applyFont="1" applyFill="1" applyAlignment="1">
      <alignment vertical="center"/>
    </xf>
    <xf numFmtId="4" fontId="5" fillId="0" borderId="3" xfId="0" applyNumberFormat="1" applyFont="1" applyFill="1" applyBorder="1" applyAlignment="1">
      <alignment horizontal="center" vertical="center" wrapText="1"/>
    </xf>
    <xf numFmtId="0" fontId="10" fillId="0" borderId="0" xfId="0" applyFont="1" applyAlignment="1">
      <alignment vertical="center" wrapText="1"/>
    </xf>
    <xf numFmtId="175" fontId="9" fillId="0" borderId="0" xfId="0" applyNumberFormat="1" applyFont="1" applyAlignment="1">
      <alignment horizontal="center" vertical="center" wrapText="1"/>
    </xf>
    <xf numFmtId="0" fontId="7" fillId="0" borderId="0" xfId="0" applyFont="1" applyAlignment="1">
      <alignment vertical="center" wrapText="1"/>
    </xf>
    <xf numFmtId="4" fontId="9" fillId="0" borderId="0" xfId="0" applyNumberFormat="1" applyFont="1" applyAlignment="1">
      <alignment horizontal="center" vertical="center" wrapText="1"/>
    </xf>
    <xf numFmtId="175" fontId="41" fillId="0" borderId="3" xfId="0" applyNumberFormat="1" applyFont="1" applyFill="1" applyBorder="1" applyAlignment="1">
      <alignment horizontal="right" vertical="center" wrapText="1"/>
    </xf>
    <xf numFmtId="0" fontId="167" fillId="0" borderId="0" xfId="182" applyFont="1" applyAlignment="1">
      <alignment vertical="center"/>
    </xf>
    <xf numFmtId="0" fontId="187" fillId="0" borderId="0" xfId="182" applyFont="1" applyAlignment="1">
      <alignment vertical="center"/>
    </xf>
    <xf numFmtId="0" fontId="0" fillId="42" borderId="0" xfId="0" applyFill="1" applyAlignment="1">
      <alignment horizontal="center"/>
    </xf>
    <xf numFmtId="0" fontId="144" fillId="0" borderId="3" xfId="0" applyFont="1" applyFill="1" applyBorder="1" applyAlignment="1">
      <alignment horizontal="center" vertical="center" wrapText="1"/>
    </xf>
    <xf numFmtId="4" fontId="144" fillId="0" borderId="3" xfId="0" applyNumberFormat="1" applyFont="1" applyFill="1" applyBorder="1" applyAlignment="1">
      <alignment horizontal="center" vertical="center" wrapText="1"/>
    </xf>
    <xf numFmtId="175" fontId="144" fillId="0" borderId="3" xfId="0" applyNumberFormat="1" applyFont="1" applyFill="1" applyBorder="1" applyAlignment="1">
      <alignment horizontal="center" vertical="center" wrapText="1"/>
    </xf>
    <xf numFmtId="0" fontId="136" fillId="0" borderId="3" xfId="0" applyFont="1" applyFill="1" applyBorder="1" applyAlignment="1">
      <alignment horizontal="center" vertical="center" wrapText="1"/>
    </xf>
    <xf numFmtId="0" fontId="144" fillId="0" borderId="0" xfId="0" applyFont="1" applyFill="1" applyAlignment="1">
      <alignment horizontal="center" vertical="center"/>
    </xf>
    <xf numFmtId="0" fontId="141" fillId="0" borderId="0" xfId="0" applyFont="1" applyFill="1" applyAlignment="1">
      <alignment horizontal="center" vertical="center" wrapText="1"/>
    </xf>
    <xf numFmtId="0" fontId="188" fillId="0" borderId="0" xfId="0" applyFont="1" applyFill="1" applyAlignment="1">
      <alignment horizontal="center" vertical="center" wrapText="1"/>
    </xf>
    <xf numFmtId="0" fontId="189" fillId="0" borderId="0" xfId="0" applyFont="1" applyFill="1" applyAlignment="1">
      <alignment horizontal="center" vertical="center" wrapText="1"/>
    </xf>
    <xf numFmtId="0" fontId="190" fillId="0" borderId="0" xfId="0" applyFont="1" applyFill="1" applyAlignment="1">
      <alignment horizontal="center" vertical="center" wrapText="1"/>
    </xf>
    <xf numFmtId="0" fontId="57" fillId="0" borderId="0" xfId="0" applyFont="1" applyAlignment="1">
      <alignment horizontal="center" vertical="top"/>
    </xf>
    <xf numFmtId="0" fontId="57" fillId="0" borderId="3" xfId="0" applyFont="1" applyBorder="1" applyAlignment="1">
      <alignment horizontal="center" vertical="center" wrapText="1"/>
    </xf>
    <xf numFmtId="9" fontId="56" fillId="0" borderId="0" xfId="287" applyFont="1" applyBorder="1" applyAlignment="1">
      <alignment horizontal="right" vertical="center"/>
    </xf>
    <xf numFmtId="0" fontId="56" fillId="0" borderId="0" xfId="0" applyFont="1" applyFill="1" applyAlignment="1">
      <alignment horizontal="center" vertical="center" wrapText="1"/>
    </xf>
    <xf numFmtId="0" fontId="59" fillId="0" borderId="0" xfId="0" applyFont="1" applyAlignment="1">
      <alignment horizontal="center" vertical="center"/>
    </xf>
    <xf numFmtId="0" fontId="56" fillId="0" borderId="0" xfId="0" applyFont="1" applyAlignment="1">
      <alignment horizontal="center" vertical="center"/>
    </xf>
    <xf numFmtId="3" fontId="56" fillId="0" borderId="9" xfId="0" applyNumberFormat="1" applyFont="1" applyBorder="1" applyAlignment="1">
      <alignment horizontal="right" vertical="center" wrapText="1"/>
    </xf>
    <xf numFmtId="3" fontId="56" fillId="0" borderId="11" xfId="0" applyNumberFormat="1" applyFont="1" applyBorder="1" applyAlignment="1">
      <alignment horizontal="right" vertical="center" wrapText="1"/>
    </xf>
    <xf numFmtId="173" fontId="57" fillId="0" borderId="3" xfId="146" applyNumberFormat="1" applyFont="1" applyBorder="1" applyAlignment="1">
      <alignment horizontal="center" vertical="center" wrapText="1"/>
    </xf>
    <xf numFmtId="0" fontId="191" fillId="0" borderId="0" xfId="0" applyFont="1" applyFill="1" applyAlignment="1">
      <alignment horizontal="center" vertical="center"/>
    </xf>
    <xf numFmtId="0" fontId="192" fillId="0" borderId="0" xfId="0" applyFont="1" applyFill="1" applyAlignment="1">
      <alignment horizontal="center" vertical="center"/>
    </xf>
    <xf numFmtId="3" fontId="193" fillId="0" borderId="12" xfId="0" applyNumberFormat="1" applyFont="1" applyFill="1" applyBorder="1" applyAlignment="1">
      <alignment horizontal="right"/>
    </xf>
    <xf numFmtId="0" fontId="143" fillId="0" borderId="0" xfId="0" applyFont="1" applyFill="1" applyAlignment="1">
      <alignment horizontal="center" vertical="center"/>
    </xf>
    <xf numFmtId="0" fontId="144" fillId="0" borderId="0" xfId="0" applyFont="1" applyAlignment="1">
      <alignment horizontal="right" vertical="top"/>
    </xf>
    <xf numFmtId="0" fontId="143" fillId="0" borderId="12" xfId="0" applyFont="1" applyBorder="1" applyAlignment="1">
      <alignment horizontal="right"/>
    </xf>
    <xf numFmtId="0" fontId="194" fillId="0" borderId="0" xfId="0" applyFont="1" applyAlignment="1">
      <alignment horizontal="center" vertical="center"/>
    </xf>
    <xf numFmtId="0" fontId="195" fillId="0" borderId="0" xfId="0" applyFont="1" applyAlignment="1">
      <alignment horizontal="center" vertical="center"/>
    </xf>
    <xf numFmtId="0" fontId="144" fillId="0" borderId="3" xfId="0" applyFont="1" applyBorder="1" applyAlignment="1">
      <alignment horizontal="center" vertical="center" wrapText="1"/>
    </xf>
    <xf numFmtId="4" fontId="144" fillId="0" borderId="3" xfId="0" applyNumberFormat="1" applyFont="1" applyBorder="1" applyAlignment="1">
      <alignment horizontal="center" vertical="center" wrapText="1"/>
    </xf>
    <xf numFmtId="0" fontId="143" fillId="0" borderId="0" xfId="0" applyFont="1" applyAlignment="1">
      <alignment horizontal="center" vertical="center"/>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12" fillId="0" borderId="0" xfId="0" applyFont="1" applyFill="1" applyAlignment="1">
      <alignment horizontal="center" vertical="center"/>
    </xf>
    <xf numFmtId="0" fontId="10" fillId="0" borderId="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25" fillId="0" borderId="9" xfId="0" applyNumberFormat="1" applyFont="1" applyFill="1" applyBorder="1" applyAlignment="1">
      <alignment horizontal="center" vertical="center" wrapText="1"/>
    </xf>
    <xf numFmtId="4" fontId="25" fillId="0" borderId="11" xfId="0" applyNumberFormat="1" applyFont="1" applyFill="1" applyBorder="1" applyAlignment="1">
      <alignment horizontal="center" vertical="center" wrapText="1"/>
    </xf>
    <xf numFmtId="0" fontId="25" fillId="0" borderId="0" xfId="0" applyFont="1" applyFill="1" applyAlignment="1">
      <alignment horizontal="center" vertical="center"/>
    </xf>
    <xf numFmtId="0" fontId="64" fillId="0" borderId="0" xfId="0" applyFont="1" applyFill="1" applyAlignment="1">
      <alignment horizontal="center" vertical="center"/>
    </xf>
    <xf numFmtId="0" fontId="23" fillId="0" borderId="0" xfId="0" applyFont="1" applyFill="1" applyAlignment="1">
      <alignment horizontal="center" vertical="center"/>
    </xf>
    <xf numFmtId="0" fontId="25"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13" xfId="0" applyFont="1" applyFill="1" applyBorder="1" applyAlignment="1">
      <alignment horizontal="center" vertical="center" wrapText="1"/>
    </xf>
    <xf numFmtId="4" fontId="25" fillId="0" borderId="14" xfId="0" applyNumberFormat="1" applyFont="1" applyFill="1" applyBorder="1" applyAlignment="1">
      <alignment horizontal="center" vertical="center" wrapText="1"/>
    </xf>
    <xf numFmtId="4" fontId="25" fillId="0" borderId="2" xfId="0" applyNumberFormat="1" applyFont="1" applyFill="1" applyBorder="1" applyAlignment="1">
      <alignment horizontal="center" vertical="center" wrapText="1"/>
    </xf>
    <xf numFmtId="4" fontId="25" fillId="0" borderId="13" xfId="0" applyNumberFormat="1"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Alignment="1">
      <alignment vertical="center"/>
    </xf>
    <xf numFmtId="0" fontId="10" fillId="0" borderId="3" xfId="0" applyFont="1" applyFill="1" applyBorder="1" applyAlignment="1">
      <alignment horizontal="center" vertical="center"/>
    </xf>
    <xf numFmtId="181" fontId="10" fillId="0" borderId="0" xfId="107" applyNumberFormat="1" applyFont="1" applyFill="1" applyAlignment="1">
      <alignment horizontal="right" vertical="center" wrapText="1"/>
    </xf>
    <xf numFmtId="0" fontId="12" fillId="0" borderId="0" xfId="0" applyFont="1" applyFill="1" applyAlignment="1">
      <alignment horizontal="center" vertical="center" wrapText="1"/>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0" xfId="0" applyFont="1" applyFill="1" applyAlignment="1">
      <alignment horizontal="center" vertical="center" wrapText="1"/>
    </xf>
    <xf numFmtId="0" fontId="145" fillId="0" borderId="3" xfId="0" applyFont="1" applyBorder="1" applyAlignment="1">
      <alignment horizontal="center" vertical="center"/>
    </xf>
    <xf numFmtId="0" fontId="137" fillId="0" borderId="3" xfId="0" applyFont="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7" fillId="0" borderId="0" xfId="0" applyFont="1" applyAlignment="1">
      <alignment horizontal="center" vertical="center"/>
    </xf>
    <xf numFmtId="0" fontId="137" fillId="0" borderId="0" xfId="0" applyFont="1" applyAlignment="1">
      <alignment vertical="center"/>
    </xf>
    <xf numFmtId="0" fontId="3" fillId="0" borderId="0" xfId="0" applyFont="1" applyAlignment="1">
      <alignment horizontal="center" vertical="center" wrapText="1"/>
    </xf>
    <xf numFmtId="0" fontId="145" fillId="0" borderId="3" xfId="0" applyFont="1" applyBorder="1" applyAlignment="1">
      <alignment horizontal="center" vertical="center" wrapText="1"/>
    </xf>
    <xf numFmtId="0" fontId="10" fillId="0" borderId="5" xfId="0" applyFont="1" applyFill="1" applyBorder="1" applyAlignment="1">
      <alignment horizontal="center" vertical="center" wrapText="1"/>
    </xf>
    <xf numFmtId="4" fontId="12" fillId="0" borderId="0" xfId="0" applyNumberFormat="1"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4" fontId="10" fillId="0" borderId="0" xfId="0" applyNumberFormat="1" applyFont="1" applyFill="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51" fillId="0" borderId="0" xfId="0" applyFont="1" applyFill="1" applyAlignment="1">
      <alignment horizontal="center" vertical="center"/>
    </xf>
    <xf numFmtId="4" fontId="10" fillId="0" borderId="9"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 fontId="10" fillId="0" borderId="14"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175" fontId="12" fillId="0" borderId="12" xfId="0" applyNumberFormat="1" applyFont="1" applyFill="1" applyBorder="1" applyAlignment="1">
      <alignment horizontal="center" vertical="center"/>
    </xf>
    <xf numFmtId="0" fontId="147" fillId="0" borderId="3" xfId="0" applyFont="1" applyBorder="1" applyAlignment="1">
      <alignment horizontal="center" vertical="center" wrapText="1"/>
    </xf>
    <xf numFmtId="4" fontId="7" fillId="0" borderId="3" xfId="0" applyNumberFormat="1" applyFont="1" applyBorder="1" applyAlignment="1">
      <alignment horizontal="center" vertical="center" wrapText="1"/>
    </xf>
    <xf numFmtId="4" fontId="197" fillId="40" borderId="15" xfId="0" applyNumberFormat="1" applyFont="1" applyFill="1" applyBorder="1" applyAlignment="1">
      <alignment horizontal="center" vertical="center" wrapText="1"/>
    </xf>
    <xf numFmtId="4" fontId="197" fillId="40" borderId="17" xfId="0" applyNumberFormat="1" applyFont="1" applyFill="1" applyBorder="1" applyAlignment="1">
      <alignment horizontal="center" vertical="center" wrapText="1"/>
    </xf>
    <xf numFmtId="4" fontId="197" fillId="40" borderId="18" xfId="0" applyNumberFormat="1" applyFont="1" applyFill="1" applyBorder="1" applyAlignment="1">
      <alignment horizontal="center" vertical="center" wrapText="1"/>
    </xf>
    <xf numFmtId="4" fontId="197" fillId="40" borderId="19" xfId="0" applyNumberFormat="1" applyFont="1" applyFill="1" applyBorder="1" applyAlignment="1">
      <alignment horizontal="center" vertical="center" wrapText="1"/>
    </xf>
    <xf numFmtId="4" fontId="197" fillId="40" borderId="16" xfId="0" applyNumberFormat="1" applyFont="1" applyFill="1" applyBorder="1" applyAlignment="1">
      <alignment horizontal="center" vertical="center" wrapText="1"/>
    </xf>
    <xf numFmtId="4" fontId="197" fillId="40" borderId="20" xfId="0" applyNumberFormat="1" applyFont="1" applyFill="1" applyBorder="1" applyAlignment="1">
      <alignment horizontal="center" vertical="center" wrapText="1"/>
    </xf>
    <xf numFmtId="4" fontId="147" fillId="0" borderId="3" xfId="0" applyNumberFormat="1" applyFont="1" applyBorder="1" applyAlignment="1">
      <alignment horizontal="center" vertical="center" wrapText="1"/>
    </xf>
    <xf numFmtId="0" fontId="147" fillId="0" borderId="9" xfId="0" applyFont="1" applyBorder="1" applyAlignment="1">
      <alignment horizontal="center" vertical="center" wrapText="1"/>
    </xf>
    <xf numFmtId="0" fontId="147" fillId="0" borderId="11" xfId="0" applyFont="1" applyBorder="1" applyAlignment="1">
      <alignment horizontal="center" vertical="center" wrapText="1"/>
    </xf>
    <xf numFmtId="0" fontId="196" fillId="0" borderId="0" xfId="0" applyFont="1" applyAlignment="1">
      <alignment horizontal="center" vertical="center"/>
    </xf>
    <xf numFmtId="4" fontId="147" fillId="0" borderId="14" xfId="0" applyNumberFormat="1" applyFont="1" applyBorder="1" applyAlignment="1">
      <alignment horizontal="center" vertical="center" wrapText="1"/>
    </xf>
    <xf numFmtId="4" fontId="147" fillId="0" borderId="2" xfId="0" applyNumberFormat="1" applyFont="1" applyBorder="1" applyAlignment="1">
      <alignment horizontal="center" vertical="center" wrapText="1"/>
    </xf>
    <xf numFmtId="4" fontId="147" fillId="0" borderId="13" xfId="0" applyNumberFormat="1" applyFont="1" applyBorder="1" applyAlignment="1">
      <alignment horizontal="center" vertical="center" wrapText="1"/>
    </xf>
    <xf numFmtId="4" fontId="7" fillId="0" borderId="14"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0" fontId="189" fillId="0" borderId="12" xfId="0" applyFont="1" applyBorder="1" applyAlignment="1">
      <alignment horizontal="center" vertical="center"/>
    </xf>
    <xf numFmtId="0" fontId="147" fillId="0" borderId="0" xfId="0" applyFont="1" applyAlignment="1">
      <alignment horizontal="center" vertical="center"/>
    </xf>
    <xf numFmtId="0" fontId="25" fillId="0" borderId="0" xfId="0" applyFont="1" applyAlignment="1">
      <alignment horizontal="center" vertical="center"/>
    </xf>
    <xf numFmtId="0" fontId="42" fillId="0" borderId="0" xfId="0" applyFont="1" applyAlignment="1">
      <alignment horizontal="center" vertical="center"/>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49" fillId="0" borderId="3" xfId="0" applyNumberFormat="1" applyFont="1" applyFill="1" applyBorder="1" applyAlignment="1">
      <alignment horizontal="center" vertical="center" wrapText="1"/>
    </xf>
    <xf numFmtId="3" fontId="49" fillId="0" borderId="3" xfId="0" applyNumberFormat="1" applyFont="1" applyFill="1" applyBorder="1" applyAlignment="1">
      <alignment horizontal="center" vertical="center" wrapText="1"/>
    </xf>
    <xf numFmtId="4" fontId="60" fillId="0" borderId="0" xfId="0" applyNumberFormat="1" applyFont="1" applyFill="1" applyBorder="1" applyAlignment="1">
      <alignment horizontal="center"/>
    </xf>
    <xf numFmtId="9" fontId="49" fillId="0" borderId="3" xfId="284" applyFont="1" applyFill="1" applyBorder="1" applyAlignment="1">
      <alignment horizontal="center" vertical="center" wrapText="1"/>
    </xf>
    <xf numFmtId="4" fontId="49" fillId="0" borderId="9" xfId="0" applyNumberFormat="1" applyFont="1" applyFill="1" applyBorder="1" applyAlignment="1">
      <alignment horizontal="center" vertical="center" wrapText="1"/>
    </xf>
    <xf numFmtId="4" fontId="49" fillId="0" borderId="5" xfId="0" applyNumberFormat="1" applyFont="1" applyFill="1" applyBorder="1" applyAlignment="1">
      <alignment horizontal="center" vertical="center" wrapText="1"/>
    </xf>
    <xf numFmtId="4" fontId="49" fillId="0" borderId="11" xfId="0" applyNumberFormat="1" applyFont="1" applyFill="1" applyBorder="1" applyAlignment="1">
      <alignment horizontal="center" vertical="center" wrapText="1"/>
    </xf>
    <xf numFmtId="3" fontId="69" fillId="0" borderId="0" xfId="0" applyNumberFormat="1" applyFont="1" applyFill="1" applyAlignment="1">
      <alignment horizontal="center" vertical="center"/>
    </xf>
    <xf numFmtId="3" fontId="71" fillId="0" borderId="0" xfId="0" applyNumberFormat="1" applyFont="1" applyFill="1" applyAlignment="1">
      <alignment horizontal="center" vertical="center"/>
    </xf>
    <xf numFmtId="4" fontId="53" fillId="0" borderId="0" xfId="0" applyNumberFormat="1" applyFont="1" applyFill="1" applyAlignment="1">
      <alignment horizontal="center" vertical="center"/>
    </xf>
    <xf numFmtId="4" fontId="53" fillId="0" borderId="12" xfId="0" applyNumberFormat="1" applyFont="1" applyFill="1" applyBorder="1" applyAlignment="1">
      <alignment horizontal="center" vertical="center"/>
    </xf>
    <xf numFmtId="3" fontId="52" fillId="0" borderId="3" xfId="0" applyNumberFormat="1" applyFont="1" applyFill="1" applyBorder="1" applyAlignment="1">
      <alignment horizontal="center" vertical="center" wrapText="1"/>
    </xf>
    <xf numFmtId="0" fontId="151" fillId="0" borderId="0" xfId="0" applyFont="1" applyAlignment="1">
      <alignment horizontal="center" vertical="center"/>
    </xf>
    <xf numFmtId="0" fontId="144" fillId="0" borderId="0" xfId="0" applyFont="1" applyAlignment="1">
      <alignment horizontal="center" vertical="center"/>
    </xf>
    <xf numFmtId="0" fontId="143" fillId="0" borderId="0" xfId="0" applyNumberFormat="1" applyFont="1" applyAlignment="1">
      <alignment horizontal="center" vertical="center"/>
    </xf>
    <xf numFmtId="0" fontId="143" fillId="0" borderId="12" xfId="0" applyFont="1" applyBorder="1" applyAlignment="1">
      <alignment horizontal="center" vertical="center"/>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87" fillId="0" borderId="0" xfId="182" applyFont="1" applyAlignment="1">
      <alignment horizontal="center" vertical="center"/>
    </xf>
    <xf numFmtId="0" fontId="138" fillId="0" borderId="12" xfId="182" applyFont="1" applyBorder="1" applyAlignment="1">
      <alignment horizontal="center" vertical="center"/>
    </xf>
    <xf numFmtId="0" fontId="142" fillId="0" borderId="9" xfId="182" applyFont="1" applyBorder="1" applyAlignment="1">
      <alignment horizontal="center" vertical="center" wrapText="1"/>
    </xf>
    <xf numFmtId="0" fontId="142" fillId="0" borderId="11" xfId="182" applyFont="1" applyBorder="1" applyAlignment="1">
      <alignment horizontal="center" vertical="center" wrapText="1"/>
    </xf>
    <xf numFmtId="0" fontId="142" fillId="0" borderId="3" xfId="182" applyFont="1" applyBorder="1" applyAlignment="1">
      <alignment horizontal="center" vertical="center" wrapText="1"/>
    </xf>
    <xf numFmtId="0" fontId="167" fillId="0" borderId="0" xfId="182" applyFont="1" applyAlignment="1">
      <alignment horizontal="center" vertical="center"/>
    </xf>
    <xf numFmtId="0" fontId="41" fillId="0" borderId="0" xfId="0" applyFont="1" applyFill="1" applyAlignment="1">
      <alignment horizontal="left" vertical="center"/>
    </xf>
    <xf numFmtId="0" fontId="52" fillId="0" borderId="3" xfId="0" applyFont="1" applyFill="1" applyBorder="1" applyAlignment="1">
      <alignment horizontal="center" vertical="center" wrapText="1"/>
    </xf>
    <xf numFmtId="175" fontId="7" fillId="0" borderId="0" xfId="0" applyNumberFormat="1" applyFont="1" applyAlignment="1">
      <alignment horizontal="center" vertical="center"/>
    </xf>
    <xf numFmtId="175" fontId="9" fillId="0" borderId="0" xfId="0" applyNumberFormat="1" applyFont="1" applyAlignment="1">
      <alignment horizontal="center" vertical="center" wrapText="1"/>
    </xf>
    <xf numFmtId="0" fontId="52" fillId="0" borderId="0" xfId="0" applyFont="1" applyFill="1" applyAlignment="1">
      <alignment horizontal="center" vertical="center"/>
    </xf>
    <xf numFmtId="0" fontId="53" fillId="0" borderId="0" xfId="0" applyFont="1" applyFill="1" applyAlignment="1">
      <alignment horizontal="center" vertical="center"/>
    </xf>
    <xf numFmtId="0" fontId="41" fillId="0" borderId="12" xfId="0" applyFont="1" applyFill="1" applyBorder="1" applyAlignment="1">
      <alignment horizontal="center" vertical="center"/>
    </xf>
    <xf numFmtId="0" fontId="41" fillId="0" borderId="0" xfId="0" applyFont="1" applyFill="1" applyBorder="1" applyAlignment="1">
      <alignment horizontal="center" vertical="center"/>
    </xf>
    <xf numFmtId="0" fontId="54" fillId="0" borderId="21" xfId="0" applyFont="1" applyFill="1" applyBorder="1" applyAlignment="1">
      <alignment horizontal="left" vertical="center"/>
    </xf>
    <xf numFmtId="0" fontId="54" fillId="0" borderId="0" xfId="0" applyFont="1" applyFill="1" applyBorder="1" applyAlignment="1">
      <alignment horizontal="left" vertical="center"/>
    </xf>
    <xf numFmtId="182" fontId="117" fillId="0" borderId="3" xfId="107" applyNumberFormat="1" applyFont="1" applyFill="1" applyBorder="1" applyAlignment="1">
      <alignment horizontal="center" vertical="center" wrapText="1"/>
    </xf>
    <xf numFmtId="0" fontId="117" fillId="0" borderId="9" xfId="0" applyFont="1" applyFill="1" applyBorder="1" applyAlignment="1">
      <alignment horizontal="center" vertical="center" wrapText="1"/>
    </xf>
    <xf numFmtId="0" fontId="117" fillId="0" borderId="11" xfId="0" applyFont="1" applyFill="1" applyBorder="1" applyAlignment="1">
      <alignment horizontal="center" vertical="center" wrapText="1"/>
    </xf>
    <xf numFmtId="182" fontId="2" fillId="0" borderId="0" xfId="107" applyNumberFormat="1" applyFont="1" applyFill="1" applyAlignment="1">
      <alignment horizontal="center" vertical="center" wrapText="1"/>
    </xf>
    <xf numFmtId="0" fontId="191" fillId="0" borderId="0" xfId="0" applyFont="1" applyFill="1" applyAlignment="1">
      <alignment horizontal="center" vertical="center" wrapText="1"/>
    </xf>
    <xf numFmtId="0" fontId="198" fillId="0" borderId="0" xfId="0" applyFont="1" applyFill="1" applyAlignment="1">
      <alignment horizontal="center" vertical="center" wrapText="1"/>
    </xf>
    <xf numFmtId="0" fontId="116" fillId="0" borderId="12" xfId="0" applyFont="1" applyFill="1" applyBorder="1" applyAlignment="1">
      <alignment horizontal="left" vertical="center" wrapText="1"/>
    </xf>
    <xf numFmtId="182" fontId="123" fillId="0" borderId="12" xfId="107" applyNumberFormat="1" applyFont="1" applyFill="1" applyBorder="1" applyAlignment="1">
      <alignment horizontal="center" vertical="center" wrapText="1"/>
    </xf>
    <xf numFmtId="0" fontId="117" fillId="0" borderId="3" xfId="0" applyFont="1" applyFill="1" applyBorder="1" applyAlignment="1">
      <alignment horizontal="center" vertical="center" wrapText="1"/>
    </xf>
    <xf numFmtId="0" fontId="116" fillId="0" borderId="0" xfId="0" quotePrefix="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horizontal="left" vertical="center" wrapText="1"/>
    </xf>
    <xf numFmtId="0" fontId="25" fillId="2" borderId="0" xfId="0" applyNumberFormat="1" applyFont="1" applyFill="1" applyAlignment="1">
      <alignment horizontal="center"/>
    </xf>
    <xf numFmtId="0" fontId="111" fillId="0" borderId="0" xfId="0" applyFont="1" applyAlignment="1">
      <alignment horizontal="center"/>
    </xf>
    <xf numFmtId="0" fontId="111" fillId="0" borderId="3" xfId="0" applyFont="1" applyBorder="1" applyAlignment="1">
      <alignment horizontal="center" vertical="center" wrapText="1"/>
    </xf>
    <xf numFmtId="0" fontId="111" fillId="0" borderId="3" xfId="0" applyFont="1" applyBorder="1" applyAlignment="1">
      <alignment horizontal="center" wrapText="1"/>
    </xf>
    <xf numFmtId="0" fontId="111" fillId="0" borderId="9" xfId="0" applyFont="1" applyBorder="1" applyAlignment="1">
      <alignment horizontal="center" vertical="center" wrapText="1"/>
    </xf>
    <xf numFmtId="0" fontId="111" fillId="0" borderId="5" xfId="0" applyFont="1" applyBorder="1" applyAlignment="1">
      <alignment horizontal="center" vertical="center" wrapText="1"/>
    </xf>
    <xf numFmtId="0" fontId="111" fillId="0" borderId="11" xfId="0" applyFont="1" applyBorder="1" applyAlignment="1">
      <alignment horizontal="center" vertical="center" wrapText="1"/>
    </xf>
    <xf numFmtId="0" fontId="115" fillId="0" borderId="0" xfId="0" applyFont="1" applyAlignment="1">
      <alignment horizontal="center" vertical="center"/>
    </xf>
    <xf numFmtId="0" fontId="199" fillId="0" borderId="0" xfId="0" applyFont="1" applyAlignment="1">
      <alignment horizontal="center" vertical="center"/>
    </xf>
    <xf numFmtId="0" fontId="25" fillId="0" borderId="0" xfId="271" applyNumberFormat="1" applyFont="1" applyBorder="1" applyAlignment="1">
      <alignment horizontal="right" vertical="center"/>
    </xf>
    <xf numFmtId="0" fontId="27" fillId="0" borderId="0" xfId="271" applyFont="1" applyBorder="1" applyAlignment="1">
      <alignment horizontal="right" vertical="center"/>
    </xf>
    <xf numFmtId="0" fontId="10" fillId="0" borderId="0" xfId="271" applyNumberFormat="1" applyFont="1" applyBorder="1" applyAlignment="1">
      <alignment horizontal="center" vertical="center" wrapText="1"/>
    </xf>
    <xf numFmtId="0" fontId="28" fillId="0" borderId="0" xfId="271" applyFont="1" applyBorder="1" applyAlignment="1">
      <alignment horizontal="center" vertical="center"/>
    </xf>
    <xf numFmtId="0" fontId="134" fillId="0" borderId="0" xfId="0" applyNumberFormat="1" applyFont="1" applyAlignment="1">
      <alignment horizontal="center" wrapText="1"/>
    </xf>
    <xf numFmtId="0" fontId="134" fillId="0" borderId="0" xfId="0" applyFont="1" applyAlignment="1">
      <alignment horizontal="center"/>
    </xf>
    <xf numFmtId="0" fontId="200" fillId="0" borderId="12" xfId="0" applyFont="1" applyBorder="1" applyAlignment="1">
      <alignment horizontal="center"/>
    </xf>
    <xf numFmtId="0" fontId="134" fillId="0" borderId="9" xfId="0" applyFont="1" applyBorder="1" applyAlignment="1">
      <alignment horizontal="center" vertical="center" wrapText="1"/>
    </xf>
    <xf numFmtId="0" fontId="134" fillId="0" borderId="11" xfId="0" applyFont="1" applyBorder="1" applyAlignment="1">
      <alignment horizontal="center" vertical="center" wrapText="1"/>
    </xf>
    <xf numFmtId="0" fontId="134" fillId="0" borderId="9" xfId="0" applyNumberFormat="1" applyFont="1" applyBorder="1" applyAlignment="1">
      <alignment horizontal="center" vertical="center" wrapText="1"/>
    </xf>
    <xf numFmtId="0" fontId="134" fillId="0" borderId="11" xfId="0" applyNumberFormat="1" applyFont="1" applyBorder="1" applyAlignment="1">
      <alignment horizontal="center" vertical="center" wrapText="1"/>
    </xf>
    <xf numFmtId="0" fontId="134" fillId="0" borderId="14" xfId="0" applyFont="1" applyBorder="1" applyAlignment="1">
      <alignment horizontal="center" vertical="center" wrapText="1"/>
    </xf>
    <xf numFmtId="0" fontId="134" fillId="0" borderId="13" xfId="0" applyFont="1" applyBorder="1" applyAlignment="1">
      <alignment horizontal="center" vertical="center" wrapText="1"/>
    </xf>
    <xf numFmtId="0" fontId="133" fillId="0" borderId="3" xfId="0" applyFont="1" applyBorder="1" applyAlignment="1">
      <alignment horizontal="center" vertical="center" wrapText="1"/>
    </xf>
    <xf numFmtId="0" fontId="136" fillId="0" borderId="3" xfId="0" applyFont="1" applyBorder="1" applyAlignment="1">
      <alignment horizontal="center" vertical="center" wrapText="1"/>
    </xf>
    <xf numFmtId="0" fontId="136" fillId="0" borderId="0" xfId="0" applyFont="1" applyAlignment="1">
      <alignment horizontal="center" vertical="center"/>
    </xf>
    <xf numFmtId="0" fontId="141" fillId="0" borderId="0" xfId="0" applyFont="1" applyAlignment="1">
      <alignment horizontal="center" vertical="center"/>
    </xf>
  </cellXfs>
  <cellStyles count="297">
    <cellStyle name="20% - Accent1 2" xfId="1"/>
    <cellStyle name="20% - Accent1 2 2" xfId="2"/>
    <cellStyle name="20% - Accent1 3" xfId="3"/>
    <cellStyle name="20% - Accent1 4" xfId="4"/>
    <cellStyle name="20% - Accent1 5" xfId="5"/>
    <cellStyle name="20% - Accent2 2" xfId="6"/>
    <cellStyle name="20% - Accent2 2 2" xfId="7"/>
    <cellStyle name="20% - Accent2 3" xfId="8"/>
    <cellStyle name="20% - Accent2 4" xfId="9"/>
    <cellStyle name="20% - Accent2 5" xfId="10"/>
    <cellStyle name="20% - Accent3 2" xfId="11"/>
    <cellStyle name="20% - Accent3 2 2" xfId="12"/>
    <cellStyle name="20% - Accent3 3" xfId="13"/>
    <cellStyle name="20% - Accent3 4" xfId="14"/>
    <cellStyle name="20% - Accent3 5" xfId="15"/>
    <cellStyle name="20% - Accent4 2" xfId="16"/>
    <cellStyle name="20% - Accent4 2 2" xfId="17"/>
    <cellStyle name="20% - Accent4 3" xfId="18"/>
    <cellStyle name="20% - Accent4 4" xfId="19"/>
    <cellStyle name="20% - Accent4 5" xfId="20"/>
    <cellStyle name="20% - Accent5 2" xfId="21"/>
    <cellStyle name="20% - Accent5 2 2" xfId="22"/>
    <cellStyle name="20% - Accent5 3" xfId="23"/>
    <cellStyle name="20% - Accent5 4" xfId="24"/>
    <cellStyle name="20% - Accent5 5" xfId="25"/>
    <cellStyle name="20% - Accent6 2" xfId="26"/>
    <cellStyle name="20% - Accent6 2 2" xfId="27"/>
    <cellStyle name="20% - Accent6 3" xfId="28"/>
    <cellStyle name="20% - Accent6 4" xfId="29"/>
    <cellStyle name="20% - Accent6 5" xfId="30"/>
    <cellStyle name="40% - Accent1 2" xfId="31"/>
    <cellStyle name="40% - Accent1 2 2" xfId="32"/>
    <cellStyle name="40% - Accent1 3" xfId="33"/>
    <cellStyle name="40% - Accent1 4" xfId="34"/>
    <cellStyle name="40% - Accent1 5" xfId="35"/>
    <cellStyle name="40% - Accent2 2" xfId="36"/>
    <cellStyle name="40% - Accent2 2 2" xfId="37"/>
    <cellStyle name="40% - Accent2 3" xfId="38"/>
    <cellStyle name="40% - Accent2 4" xfId="39"/>
    <cellStyle name="40% - Accent2 5" xfId="40"/>
    <cellStyle name="40% - Accent3 2" xfId="41"/>
    <cellStyle name="40% - Accent3 2 2" xfId="42"/>
    <cellStyle name="40% - Accent3 3" xfId="43"/>
    <cellStyle name="40% - Accent3 4" xfId="44"/>
    <cellStyle name="40% - Accent3 5" xfId="45"/>
    <cellStyle name="40% - Accent4 2" xfId="46"/>
    <cellStyle name="40% - Accent4 2 2" xfId="47"/>
    <cellStyle name="40% - Accent4 3" xfId="48"/>
    <cellStyle name="40% - Accent4 4" xfId="49"/>
    <cellStyle name="40% - Accent4 5" xfId="50"/>
    <cellStyle name="40% - Accent5 2" xfId="51"/>
    <cellStyle name="40% - Accent5 2 2" xfId="52"/>
    <cellStyle name="40% - Accent5 3" xfId="53"/>
    <cellStyle name="40% - Accent5 4" xfId="54"/>
    <cellStyle name="40% - Accent5 5" xfId="55"/>
    <cellStyle name="40% - Accent6 2" xfId="56"/>
    <cellStyle name="40% - Accent6 2 2" xfId="57"/>
    <cellStyle name="40% - Accent6 3" xfId="58"/>
    <cellStyle name="40% - Accent6 4" xfId="59"/>
    <cellStyle name="40% - Accent6 5" xfId="60"/>
    <cellStyle name="60% - Accent1 2" xfId="61"/>
    <cellStyle name="60% - Accent1 2 2" xfId="62"/>
    <cellStyle name="60% - Accent1 3" xfId="63"/>
    <cellStyle name="60% - Accent2 2" xfId="64"/>
    <cellStyle name="60% - Accent2 2 2" xfId="65"/>
    <cellStyle name="60% - Accent2 3" xfId="66"/>
    <cellStyle name="60% - Accent3 2" xfId="67"/>
    <cellStyle name="60% - Accent3 2 2" xfId="68"/>
    <cellStyle name="60% - Accent3 3" xfId="69"/>
    <cellStyle name="60% - Accent4 2" xfId="70"/>
    <cellStyle name="60% - Accent4 2 2" xfId="71"/>
    <cellStyle name="60% - Accent4 3" xfId="72"/>
    <cellStyle name="60% - Accent5 2" xfId="73"/>
    <cellStyle name="60% - Accent5 2 2" xfId="74"/>
    <cellStyle name="60% - Accent5 3" xfId="75"/>
    <cellStyle name="60% - Accent6 2" xfId="76"/>
    <cellStyle name="60% - Accent6 2 2" xfId="77"/>
    <cellStyle name="60% - Accent6 3" xfId="78"/>
    <cellStyle name="Accent1 2" xfId="79"/>
    <cellStyle name="Accent1 2 2" xfId="80"/>
    <cellStyle name="Accent1 3" xfId="81"/>
    <cellStyle name="Accent2 2" xfId="82"/>
    <cellStyle name="Accent2 2 2" xfId="83"/>
    <cellStyle name="Accent2 3" xfId="84"/>
    <cellStyle name="Accent3 2" xfId="85"/>
    <cellStyle name="Accent3 2 2" xfId="86"/>
    <cellStyle name="Accent3 3" xfId="87"/>
    <cellStyle name="Accent4 2" xfId="88"/>
    <cellStyle name="Accent4 2 2" xfId="89"/>
    <cellStyle name="Accent4 3" xfId="90"/>
    <cellStyle name="Accent5 2" xfId="91"/>
    <cellStyle name="Accent5 2 2" xfId="92"/>
    <cellStyle name="Accent5 3" xfId="93"/>
    <cellStyle name="Accent6 2" xfId="94"/>
    <cellStyle name="Accent6 2 2" xfId="95"/>
    <cellStyle name="Accent6 3" xfId="96"/>
    <cellStyle name="Bad 2" xfId="97"/>
    <cellStyle name="Bad 2 2" xfId="98"/>
    <cellStyle name="Bad 3" xfId="99"/>
    <cellStyle name="Bình thường 3" xfId="100"/>
    <cellStyle name="Calculation 2" xfId="101"/>
    <cellStyle name="Calculation 2 2" xfId="102"/>
    <cellStyle name="Calculation 3" xfId="103"/>
    <cellStyle name="Comma" xfId="107" builtinId="3"/>
    <cellStyle name="Comma [0] 10" xfId="108"/>
    <cellStyle name="Comma [0] 2" xfId="109"/>
    <cellStyle name="Comma 10" xfId="110"/>
    <cellStyle name="Comma 10 2" xfId="111"/>
    <cellStyle name="Comma 11" xfId="112"/>
    <cellStyle name="Comma 14" xfId="113"/>
    <cellStyle name="Comma 17" xfId="114"/>
    <cellStyle name="Comma 2" xfId="115"/>
    <cellStyle name="Comma 2 10" xfId="116"/>
    <cellStyle name="Comma 2 11" xfId="117"/>
    <cellStyle name="Comma 2 12" xfId="118"/>
    <cellStyle name="Comma 2 13" xfId="119"/>
    <cellStyle name="Comma 2 14" xfId="120"/>
    <cellStyle name="Comma 2 15" xfId="121"/>
    <cellStyle name="Comma 2 16" xfId="122"/>
    <cellStyle name="Comma 2 17" xfId="123"/>
    <cellStyle name="Comma 2 18" xfId="124"/>
    <cellStyle name="Comma 2 19" xfId="125"/>
    <cellStyle name="Comma 2 2" xfId="126"/>
    <cellStyle name="Comma 2 2 2" xfId="127"/>
    <cellStyle name="Comma 2 20" xfId="128"/>
    <cellStyle name="Comma 2 21" xfId="129"/>
    <cellStyle name="Comma 2 22" xfId="130"/>
    <cellStyle name="Comma 2 23" xfId="131"/>
    <cellStyle name="Comma 2 24" xfId="132"/>
    <cellStyle name="Comma 2 25" xfId="133"/>
    <cellStyle name="Comma 2 26" xfId="134"/>
    <cellStyle name="Comma 2 27" xfId="135"/>
    <cellStyle name="Comma 2 3" xfId="136"/>
    <cellStyle name="Comma 2 4" xfId="137"/>
    <cellStyle name="Comma 2 5" xfId="138"/>
    <cellStyle name="Comma 2 6" xfId="139"/>
    <cellStyle name="Comma 2 7" xfId="140"/>
    <cellStyle name="Comma 2 8" xfId="141"/>
    <cellStyle name="Comma 2 9" xfId="142"/>
    <cellStyle name="Comma 3" xfId="143"/>
    <cellStyle name="Comma 3 2" xfId="144"/>
    <cellStyle name="Comma 4" xfId="145"/>
    <cellStyle name="Comma 5" xfId="146"/>
    <cellStyle name="Comma 6" xfId="147"/>
    <cellStyle name="Comma 7" xfId="148"/>
    <cellStyle name="Comma 8" xfId="149"/>
    <cellStyle name="Comma 9" xfId="150"/>
    <cellStyle name="Check Cell 2" xfId="104"/>
    <cellStyle name="Check Cell 2 2" xfId="105"/>
    <cellStyle name="Check Cell 3" xfId="106"/>
    <cellStyle name="Explanatory Text 2" xfId="151"/>
    <cellStyle name="Explanatory Text 2 2" xfId="152"/>
    <cellStyle name="Explanatory Text 3" xfId="153"/>
    <cellStyle name="Good 2" xfId="154"/>
    <cellStyle name="Good 2 2" xfId="155"/>
    <cellStyle name="Good 3" xfId="156"/>
    <cellStyle name="Header1" xfId="157"/>
    <cellStyle name="Header2" xfId="158"/>
    <cellStyle name="Heading 1 2" xfId="159"/>
    <cellStyle name="Heading 1 2 2" xfId="160"/>
    <cellStyle name="Heading 1 3" xfId="161"/>
    <cellStyle name="Heading 2 2" xfId="162"/>
    <cellStyle name="Heading 2 2 2" xfId="163"/>
    <cellStyle name="Heading 2 3" xfId="164"/>
    <cellStyle name="Heading 3 2" xfId="165"/>
    <cellStyle name="Heading 3 2 2" xfId="166"/>
    <cellStyle name="Heading 3 3" xfId="167"/>
    <cellStyle name="Heading 4 2" xfId="168"/>
    <cellStyle name="Heading 4 2 2" xfId="169"/>
    <cellStyle name="Heading 4 3" xfId="170"/>
    <cellStyle name="Input 2" xfId="171"/>
    <cellStyle name="Input 2 2" xfId="172"/>
    <cellStyle name="Input 3" xfId="173"/>
    <cellStyle name="Linked Cell 2" xfId="174"/>
    <cellStyle name="Linked Cell 2 2" xfId="175"/>
    <cellStyle name="Linked Cell 3" xfId="176"/>
    <cellStyle name="Neutral 2" xfId="177"/>
    <cellStyle name="Neutral 2 2" xfId="178"/>
    <cellStyle name="Neutral 3" xfId="179"/>
    <cellStyle name="Normal" xfId="0" builtinId="0"/>
    <cellStyle name="Normal 10" xfId="180"/>
    <cellStyle name="Normal 10 2" xfId="181"/>
    <cellStyle name="Normal 100 3 2" xfId="182"/>
    <cellStyle name="Normal 101" xfId="183"/>
    <cellStyle name="Normal 104" xfId="184"/>
    <cellStyle name="Normal 105" xfId="185"/>
    <cellStyle name="Normal 106" xfId="186"/>
    <cellStyle name="Normal 109" xfId="187"/>
    <cellStyle name="Normal 11" xfId="188"/>
    <cellStyle name="Normal 11 2" xfId="189"/>
    <cellStyle name="Normal 110" xfId="190"/>
    <cellStyle name="Normal 111" xfId="191"/>
    <cellStyle name="Normal 112" xfId="192"/>
    <cellStyle name="Normal 12" xfId="193"/>
    <cellStyle name="Normal 14" xfId="194"/>
    <cellStyle name="Normal 15" xfId="195"/>
    <cellStyle name="Normal 16" xfId="196"/>
    <cellStyle name="Normal 17" xfId="197"/>
    <cellStyle name="Normal 18" xfId="198"/>
    <cellStyle name="Normal 2" xfId="199"/>
    <cellStyle name="Normal 2 10" xfId="200"/>
    <cellStyle name="Normal 2 11" xfId="201"/>
    <cellStyle name="Normal 2 12" xfId="202"/>
    <cellStyle name="Normal 2 13" xfId="203"/>
    <cellStyle name="Normal 2 14" xfId="204"/>
    <cellStyle name="Normal 2 15" xfId="205"/>
    <cellStyle name="Normal 2 16" xfId="206"/>
    <cellStyle name="Normal 2 17" xfId="207"/>
    <cellStyle name="Normal 2 18" xfId="208"/>
    <cellStyle name="Normal 2 19" xfId="209"/>
    <cellStyle name="Normal 2 2" xfId="210"/>
    <cellStyle name="Normal 2 20" xfId="211"/>
    <cellStyle name="Normal 2 21" xfId="212"/>
    <cellStyle name="Normal 2 22" xfId="213"/>
    <cellStyle name="Normal 2 23" xfId="214"/>
    <cellStyle name="Normal 2 24" xfId="215"/>
    <cellStyle name="Normal 2 25" xfId="216"/>
    <cellStyle name="Normal 2 26" xfId="217"/>
    <cellStyle name="Normal 2 27" xfId="218"/>
    <cellStyle name="Normal 2 28" xfId="219"/>
    <cellStyle name="Normal 2 3" xfId="220"/>
    <cellStyle name="Normal 2 4" xfId="221"/>
    <cellStyle name="Normal 2 5" xfId="222"/>
    <cellStyle name="Normal 2 6" xfId="223"/>
    <cellStyle name="Normal 2 7" xfId="224"/>
    <cellStyle name="Normal 2 8" xfId="225"/>
    <cellStyle name="Normal 2 9" xfId="226"/>
    <cellStyle name="Normal 2_Tong hop ke hoach dau tu XDCB trung han cua tinh (ngay 24.10)" xfId="227"/>
    <cellStyle name="Normal 22" xfId="228"/>
    <cellStyle name="Normal 24" xfId="229"/>
    <cellStyle name="Normal 25" xfId="230"/>
    <cellStyle name="Normal 27" xfId="231"/>
    <cellStyle name="Normal 29" xfId="232"/>
    <cellStyle name="Normal 3" xfId="233"/>
    <cellStyle name="Normal 3 2" xfId="234"/>
    <cellStyle name="Normal 3 3" xfId="235"/>
    <cellStyle name="Normal 3 4" xfId="236"/>
    <cellStyle name="Normal 4" xfId="237"/>
    <cellStyle name="Normal 4 2" xfId="238"/>
    <cellStyle name="Normal 4 3" xfId="239"/>
    <cellStyle name="Normal 41" xfId="240"/>
    <cellStyle name="Normal 42" xfId="241"/>
    <cellStyle name="Normal 44" xfId="242"/>
    <cellStyle name="Normal 45" xfId="243"/>
    <cellStyle name="Normal 47" xfId="244"/>
    <cellStyle name="Normal 5" xfId="245"/>
    <cellStyle name="Normal 5 2" xfId="246"/>
    <cellStyle name="Normal 5 3" xfId="247"/>
    <cellStyle name="Normal 51" xfId="248"/>
    <cellStyle name="Normal 53" xfId="249"/>
    <cellStyle name="Normal 54" xfId="250"/>
    <cellStyle name="Normal 58" xfId="251"/>
    <cellStyle name="Normal 59" xfId="252"/>
    <cellStyle name="Normal 6" xfId="253"/>
    <cellStyle name="Normal 6 2" xfId="254"/>
    <cellStyle name="Normal 60" xfId="255"/>
    <cellStyle name="Normal 61" xfId="256"/>
    <cellStyle name="Normal 7" xfId="257"/>
    <cellStyle name="Normal 8" xfId="258"/>
    <cellStyle name="Normal 86" xfId="259"/>
    <cellStyle name="Normal 88" xfId="260"/>
    <cellStyle name="Normal 9" xfId="261"/>
    <cellStyle name="Normal 9 2" xfId="262"/>
    <cellStyle name="Normal 96" xfId="263"/>
    <cellStyle name="Normal 98" xfId="264"/>
    <cellStyle name="Normal_Bieu mau (CV )" xfId="265"/>
    <cellStyle name="Normal_Bieu mau (CV ) 2 2" xfId="266"/>
    <cellStyle name="Normal_CTMT" xfId="267"/>
    <cellStyle name="Normal_KH 2010-bieu 6" xfId="268"/>
    <cellStyle name="Normal_KH XDCB 2009-tham khao" xfId="269"/>
    <cellStyle name="Normal_KH XDCB 2009-tham khao_Theo doi giai ngan tung du an" xfId="270"/>
    <cellStyle name="Normal_MAU BIEU KTTHOP" xfId="271"/>
    <cellStyle name="Normal_No Ban GTNT" xfId="272"/>
    <cellStyle name="Normal_Phu biÓu kehoach kt moi" xfId="273"/>
    <cellStyle name="Normal_Sheet1" xfId="274"/>
    <cellStyle name="Normal_Sheet1 (2)" xfId="275"/>
    <cellStyle name="Note 2" xfId="276"/>
    <cellStyle name="Note 2 2" xfId="277"/>
    <cellStyle name="Note 3" xfId="278"/>
    <cellStyle name="Note 4" xfId="279"/>
    <cellStyle name="Note 5" xfId="280"/>
    <cellStyle name="Output 2" xfId="281"/>
    <cellStyle name="Output 2 2" xfId="282"/>
    <cellStyle name="Output 3" xfId="283"/>
    <cellStyle name="Percent" xfId="284" builtinId="5"/>
    <cellStyle name="Percent 2" xfId="285"/>
    <cellStyle name="Percent 3" xfId="286"/>
    <cellStyle name="Percent 3 2" xfId="287"/>
    <cellStyle name="Title 2" xfId="288"/>
    <cellStyle name="Title 2 2" xfId="289"/>
    <cellStyle name="Title 3" xfId="290"/>
    <cellStyle name="Total 2" xfId="291"/>
    <cellStyle name="Total 2 2" xfId="292"/>
    <cellStyle name="Total 3" xfId="293"/>
    <cellStyle name="Warning Text 2" xfId="294"/>
    <cellStyle name="Warning Text 2 2" xfId="295"/>
    <cellStyle name="Warning Text 3" xfId="2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QUYET%20TOAN%202017%20-%20lam%20chi%20tie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ownloads\Tong%20hop%20CTMT%20-%20HTCMT%20tren%20tabm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P\Downloads\QUYET%20TOAN%202017%20-%20lam%20chi%20ti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istrator\Downloads\bieu%20QT%20HDND%202017-%20HCS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refreshError="1"/>
      <sheetData sheetId="1" refreshError="1"/>
      <sheetData sheetId="2" refreshError="1"/>
      <sheetData sheetId="3" refreshError="1"/>
      <sheetData sheetId="4" refreshError="1">
        <row r="53">
          <cell r="H53">
            <v>567587.01723300002</v>
          </cell>
        </row>
      </sheetData>
      <sheetData sheetId="5" refreshError="1"/>
      <sheetData sheetId="6" refreshError="1"/>
      <sheetData sheetId="7" refreshError="1"/>
      <sheetData sheetId="8" refreshError="1"/>
      <sheetData sheetId="9" refreshError="1"/>
      <sheetData sheetId="10" refreshError="1"/>
      <sheetData sheetId="11" refreshError="1">
        <row r="8">
          <cell r="G8">
            <v>0</v>
          </cell>
        </row>
      </sheetData>
      <sheetData sheetId="12" refreshError="1"/>
      <sheetData sheetId="13" refreshError="1"/>
      <sheetData sheetId="14" refreshError="1"/>
      <sheetData sheetId="15" refreshError="1"/>
      <sheetData sheetId="16" refreshError="1"/>
      <sheetData sheetId="17" refreshError="1">
        <row r="78">
          <cell r="C78">
            <v>1000000</v>
          </cell>
        </row>
      </sheetData>
      <sheetData sheetId="18" refreshError="1">
        <row r="9">
          <cell r="C9">
            <v>0</v>
          </cell>
        </row>
        <row r="10">
          <cell r="C10">
            <v>10177.186000000002</v>
          </cell>
        </row>
        <row r="11">
          <cell r="C11">
            <v>0</v>
          </cell>
        </row>
        <row r="12">
          <cell r="C12">
            <v>0</v>
          </cell>
        </row>
        <row r="13">
          <cell r="C13">
            <v>0</v>
          </cell>
        </row>
        <row r="14">
          <cell r="C14">
            <v>0</v>
          </cell>
        </row>
        <row r="15">
          <cell r="C15">
            <v>0</v>
          </cell>
        </row>
        <row r="16">
          <cell r="C16">
            <v>0</v>
          </cell>
        </row>
        <row r="17">
          <cell r="C17">
            <v>17390.016735999998</v>
          </cell>
        </row>
        <row r="18">
          <cell r="C18">
            <v>0</v>
          </cell>
        </row>
        <row r="19">
          <cell r="C19">
            <v>0</v>
          </cell>
        </row>
        <row r="29">
          <cell r="C29">
            <v>0</v>
          </cell>
        </row>
        <row r="30">
          <cell r="C30">
            <v>374982.41000000003</v>
          </cell>
        </row>
        <row r="31">
          <cell r="C31">
            <v>118198.07</v>
          </cell>
        </row>
        <row r="34">
          <cell r="C34">
            <v>0</v>
          </cell>
        </row>
        <row r="36">
          <cell r="C36">
            <v>185282.21685</v>
          </cell>
        </row>
        <row r="37">
          <cell r="C37">
            <v>23819.947</v>
          </cell>
        </row>
        <row r="38">
          <cell r="C38">
            <v>43308.15</v>
          </cell>
        </row>
        <row r="39">
          <cell r="C39">
            <v>15552.773681000001</v>
          </cell>
        </row>
        <row r="40">
          <cell r="C40">
            <v>55777.385999999999</v>
          </cell>
        </row>
        <row r="41">
          <cell r="C41">
            <v>9083.9138999999996</v>
          </cell>
        </row>
        <row r="42">
          <cell r="C42">
            <v>36001.044000000002</v>
          </cell>
        </row>
        <row r="43">
          <cell r="C43">
            <v>109969.659</v>
          </cell>
        </row>
        <row r="44">
          <cell r="C44">
            <v>8568.7126819999994</v>
          </cell>
        </row>
        <row r="45">
          <cell r="C45">
            <v>3406.6010000000001</v>
          </cell>
        </row>
        <row r="46">
          <cell r="C46">
            <v>3590.3960000000002</v>
          </cell>
        </row>
        <row r="47">
          <cell r="C47">
            <v>18.024000000000001</v>
          </cell>
        </row>
        <row r="48">
          <cell r="C48">
            <v>51.158000000000001</v>
          </cell>
        </row>
        <row r="49">
          <cell r="C49">
            <v>174.69399999999999</v>
          </cell>
        </row>
        <row r="50">
          <cell r="C50">
            <v>1245.961256</v>
          </cell>
        </row>
        <row r="51">
          <cell r="C51">
            <v>350.60599999999999</v>
          </cell>
        </row>
        <row r="52">
          <cell r="C52">
            <v>575.94899999999996</v>
          </cell>
        </row>
        <row r="53">
          <cell r="C53">
            <v>8435.0823280000004</v>
          </cell>
        </row>
        <row r="55">
          <cell r="C55">
            <v>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29492.574264000003</v>
          </cell>
        </row>
        <row r="66">
          <cell r="C66">
            <v>0</v>
          </cell>
        </row>
        <row r="67">
          <cell r="C67">
            <v>0</v>
          </cell>
        </row>
        <row r="68">
          <cell r="C68">
            <v>0</v>
          </cell>
        </row>
        <row r="69">
          <cell r="C69">
            <v>0</v>
          </cell>
        </row>
        <row r="70">
          <cell r="C70">
            <v>0</v>
          </cell>
        </row>
        <row r="71">
          <cell r="C71">
            <v>30826.799999999999</v>
          </cell>
        </row>
        <row r="72">
          <cell r="C72">
            <v>32742.15</v>
          </cell>
        </row>
        <row r="75">
          <cell r="C75">
            <v>0</v>
          </cell>
        </row>
      </sheetData>
      <sheetData sheetId="19" refreshError="1">
        <row r="6">
          <cell r="J6">
            <v>10327.290000000001</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218">
          <cell r="H218">
            <v>0</v>
          </cell>
        </row>
        <row r="270">
          <cell r="H270">
            <v>41003527869.554802</v>
          </cell>
        </row>
        <row r="271">
          <cell r="H271">
            <v>28811110369.554802</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27-011-0405"/>
      <sheetName val="9727-2-ctmt"/>
      <sheetName val="9752-CtMT"/>
      <sheetName val="ctmt -sn"/>
      <sheetName val="CTMT -Dt"/>
      <sheetName val="Sheet6"/>
      <sheetName val="Sheet5"/>
      <sheetName val="9727-htmt"/>
      <sheetName val="9752-619-959"/>
      <sheetName val="Sheet4"/>
      <sheetName val="Sheet2"/>
      <sheetName val="Sheet1"/>
      <sheetName val="huyen-959"/>
      <sheetName val="Sheet7"/>
      <sheetName val="Sheet8"/>
      <sheetName val="Sheet13"/>
      <sheetName val="952huyen CTMT"/>
      <sheetName val="Sheet10"/>
      <sheetName val="tong hop"/>
      <sheetName val="GN"/>
      <sheetName val="ntm"/>
      <sheetName val="Sheet3"/>
      <sheetName val="Sheet9"/>
    </sheetNames>
    <sheetDataSet>
      <sheetData sheetId="0"/>
      <sheetData sheetId="1"/>
      <sheetData sheetId="2"/>
      <sheetData sheetId="3">
        <row r="34">
          <cell r="N34">
            <v>11981302500</v>
          </cell>
        </row>
      </sheetData>
      <sheetData sheetId="4">
        <row r="35">
          <cell r="O35">
            <v>10177183000</v>
          </cell>
        </row>
        <row r="106">
          <cell r="O106">
            <v>17390016736</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206">
          <cell r="O206">
            <v>19196388900</v>
          </cell>
        </row>
        <row r="222">
          <cell r="O222">
            <v>4858756500</v>
          </cell>
        </row>
        <row r="282">
          <cell r="O282">
            <v>11482767000</v>
          </cell>
        </row>
        <row r="293">
          <cell r="O293">
            <v>2976535000</v>
          </cell>
        </row>
        <row r="347">
          <cell r="O347">
            <v>12316407000</v>
          </cell>
        </row>
        <row r="350">
          <cell r="O350">
            <v>582000000</v>
          </cell>
        </row>
        <row r="355">
          <cell r="O355">
            <v>1302737000</v>
          </cell>
        </row>
        <row r="429">
          <cell r="O429">
            <v>10292648400</v>
          </cell>
        </row>
        <row r="446">
          <cell r="O446">
            <v>2422163500</v>
          </cell>
        </row>
        <row r="485">
          <cell r="O485">
            <v>5563191358</v>
          </cell>
        </row>
        <row r="517">
          <cell r="O517">
            <v>7453422600</v>
          </cell>
        </row>
        <row r="524">
          <cell r="O524">
            <v>2129310000</v>
          </cell>
        </row>
        <row r="560">
          <cell r="O560">
            <v>8441334000</v>
          </cell>
        </row>
      </sheetData>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 HDND"/>
      <sheetName val="Sheet2"/>
      <sheetName val="can doi gui Bo"/>
      <sheetName val="QT bo tach đâu tu"/>
      <sheetName val="QT NSDP"/>
      <sheetName val="huyen"/>
      <sheetName val="xa"/>
      <sheetName val="QT NS tinh"/>
      <sheetName val="QT ĐV Dtoan"/>
      <sheetName val="TH du toan"/>
      <sheetName val="Sheet14"/>
      <sheetName val="QT LCT"/>
      <sheetName val="HCSN 17"/>
      <sheetName val="TCDN"/>
      <sheetName val="NS"/>
      <sheetName val="MT HC"/>
      <sheetName val="MTDN"/>
      <sheetName val="QT von DT+MT"/>
      <sheetName val="QT von Dtu"/>
      <sheetName val="45"/>
      <sheetName val="Sheet15"/>
      <sheetName val="Sheet18"/>
      <sheetName val="9752-ctmt"/>
      <sheetName val="9727-ctmt"/>
      <sheetName val="9727-619-959"/>
      <sheetName val="9752-619-959"/>
      <sheetName val="Sheet17"/>
      <sheetName val="Sheet1"/>
      <sheetName val="sn ctmt "/>
      <sheetName val="CTMT trd"/>
      <sheetName val="ctmt dong"/>
      <sheetName val="ctmt-16HCSN"/>
      <sheetName val="ctmt-sn"/>
      <sheetName val="Sheet13"/>
      <sheetName val="Chi khac NS"/>
      <sheetName val="49 -ctmt"/>
      <sheetName val="HCSN"/>
      <sheetName val="chuyen ng"/>
      <sheetName val="khoan 3 D8"/>
      <sheetName val="ghi chi toan tinh"/>
      <sheetName val="ghi chi ns huyen"/>
      <sheetName val="ghi chi tinh"/>
      <sheetName val="ghi chi tinh-bo"/>
      <sheetName val="ghi thu"/>
      <sheetName val="ghi chi viện trợ"/>
      <sheetName val="GHI CHI h- BO"/>
      <sheetName val="ghi chi BSCMT-vay"/>
      <sheetName val="het nam 2015"/>
      <sheetName val="lc"/>
      <sheetName val="Sheet9"/>
      <sheetName val="het"/>
      <sheetName val="Sheet12"/>
      <sheetName val="Sheet11"/>
      <sheetName val="Sheet10"/>
      <sheetName val="Sheet5"/>
      <sheetName val="Sheet8"/>
      <sheetName val="Sheet3"/>
      <sheetName val="Sheet7"/>
      <sheetName val="Sheet6"/>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20">
          <cell r="J20">
            <v>401</v>
          </cell>
        </row>
        <row r="21">
          <cell r="J21">
            <v>30</v>
          </cell>
        </row>
        <row r="23">
          <cell r="J23">
            <v>90.05</v>
          </cell>
        </row>
        <row r="27">
          <cell r="J27">
            <v>750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48"/>
      <sheetName val="Bieu 49"/>
      <sheetName val="B2-01"/>
      <sheetName val="bieu 50"/>
      <sheetName val="Bieu 51"/>
      <sheetName val="Bieu 52"/>
      <sheetName val="Bieu 53"/>
      <sheetName val="Bieu 54"/>
      <sheetName val="bieu 55"/>
      <sheetName val="Bieu 56"/>
      <sheetName val="Bieu 57"/>
      <sheetName val="Bieu 58"/>
      <sheetName val="bieu 59"/>
      <sheetName val="Bieu 60"/>
      <sheetName val="Bieu 61"/>
      <sheetName val="Bieu 62"/>
      <sheetName val="Bieu 63"/>
      <sheetName val="Bieu 64"/>
    </sheetNames>
    <sheetDataSet>
      <sheetData sheetId="0"/>
      <sheetData sheetId="1"/>
      <sheetData sheetId="2"/>
      <sheetData sheetId="3"/>
      <sheetData sheetId="4"/>
      <sheetData sheetId="5"/>
      <sheetData sheetId="6"/>
      <sheetData sheetId="7"/>
      <sheetData sheetId="8"/>
      <sheetData sheetId="9"/>
      <sheetData sheetId="10">
        <row r="10">
          <cell r="D10">
            <v>2505508000</v>
          </cell>
          <cell r="I10">
            <v>2205508000</v>
          </cell>
        </row>
        <row r="11">
          <cell r="D11">
            <v>126000000</v>
          </cell>
          <cell r="I11">
            <v>0</v>
          </cell>
        </row>
        <row r="13">
          <cell r="D13">
            <v>1342000000</v>
          </cell>
          <cell r="I13">
            <v>1342000000</v>
          </cell>
        </row>
        <row r="14">
          <cell r="D14">
            <v>433321000</v>
          </cell>
          <cell r="I14">
            <v>431621000</v>
          </cell>
        </row>
        <row r="15">
          <cell r="D15">
            <v>50000000</v>
          </cell>
          <cell r="I15">
            <v>50000000</v>
          </cell>
        </row>
        <row r="16">
          <cell r="D16">
            <v>630000000</v>
          </cell>
          <cell r="I16">
            <v>630000000</v>
          </cell>
        </row>
        <row r="21">
          <cell r="D21">
            <v>34102629000</v>
          </cell>
          <cell r="I21">
            <v>31016426000</v>
          </cell>
        </row>
        <row r="22">
          <cell r="D22">
            <v>8086483000</v>
          </cell>
          <cell r="I22">
            <v>7998643000</v>
          </cell>
        </row>
        <row r="23">
          <cell r="D23">
            <v>8750441000</v>
          </cell>
          <cell r="I23">
            <v>8725833000</v>
          </cell>
        </row>
        <row r="24">
          <cell r="D24">
            <v>8148630000</v>
          </cell>
          <cell r="I24">
            <v>8101310000</v>
          </cell>
        </row>
        <row r="25">
          <cell r="D25">
            <v>4084425000</v>
          </cell>
          <cell r="I25">
            <v>4084425000</v>
          </cell>
        </row>
        <row r="26">
          <cell r="D26">
            <v>6722741000</v>
          </cell>
          <cell r="I26">
            <v>6722741000</v>
          </cell>
        </row>
        <row r="27">
          <cell r="D27">
            <v>3649711000</v>
          </cell>
          <cell r="I27">
            <v>3649711000</v>
          </cell>
        </row>
        <row r="28">
          <cell r="D28">
            <v>4058901000</v>
          </cell>
          <cell r="I28">
            <v>4058901000.0000005</v>
          </cell>
        </row>
        <row r="29">
          <cell r="D29">
            <v>8116109999.999999</v>
          </cell>
          <cell r="I29">
            <v>8116110000</v>
          </cell>
        </row>
        <row r="30">
          <cell r="D30">
            <v>8604988000.0000019</v>
          </cell>
          <cell r="I30">
            <v>8604988000.0000019</v>
          </cell>
        </row>
        <row r="31">
          <cell r="D31">
            <v>6811870000</v>
          </cell>
          <cell r="I31">
            <v>6811869999.999999</v>
          </cell>
        </row>
        <row r="32">
          <cell r="D32">
            <v>13298189000</v>
          </cell>
          <cell r="I32">
            <v>13239989000</v>
          </cell>
        </row>
        <row r="33">
          <cell r="D33">
            <v>4976508000</v>
          </cell>
          <cell r="I33">
            <v>4976507999.999999</v>
          </cell>
        </row>
        <row r="34">
          <cell r="D34">
            <v>7019000000</v>
          </cell>
          <cell r="I34">
            <v>7019000000</v>
          </cell>
        </row>
        <row r="35">
          <cell r="D35">
            <v>4747688000</v>
          </cell>
          <cell r="I35">
            <v>4747688000</v>
          </cell>
        </row>
        <row r="36">
          <cell r="D36">
            <v>9867042000</v>
          </cell>
          <cell r="I36">
            <v>9867042000</v>
          </cell>
        </row>
        <row r="37">
          <cell r="D37">
            <v>8509680999.999999</v>
          </cell>
          <cell r="I37">
            <v>8509681000</v>
          </cell>
        </row>
        <row r="38">
          <cell r="D38">
            <v>8567258000</v>
          </cell>
          <cell r="I38">
            <v>8567258000</v>
          </cell>
        </row>
        <row r="39">
          <cell r="D39">
            <v>8466400999.9999981</v>
          </cell>
          <cell r="I39">
            <v>8466400999.9999981</v>
          </cell>
        </row>
        <row r="40">
          <cell r="D40">
            <v>3673741000</v>
          </cell>
          <cell r="I40">
            <v>3673741000</v>
          </cell>
        </row>
        <row r="41">
          <cell r="D41">
            <v>4926319000</v>
          </cell>
          <cell r="I41">
            <v>4926319000</v>
          </cell>
        </row>
        <row r="42">
          <cell r="D42">
            <v>9927413000</v>
          </cell>
          <cell r="I42">
            <v>9927413000</v>
          </cell>
        </row>
        <row r="43">
          <cell r="D43">
            <v>4025799000</v>
          </cell>
          <cell r="I43">
            <v>4025799000</v>
          </cell>
        </row>
        <row r="44">
          <cell r="D44">
            <v>7729759470</v>
          </cell>
          <cell r="I44">
            <v>7729759470</v>
          </cell>
        </row>
        <row r="45">
          <cell r="D45">
            <v>3054823000</v>
          </cell>
          <cell r="I45">
            <v>3054823000</v>
          </cell>
        </row>
        <row r="46">
          <cell r="D46">
            <v>3717321000</v>
          </cell>
          <cell r="I46">
            <v>3717321000</v>
          </cell>
        </row>
        <row r="47">
          <cell r="D47">
            <v>5745534000</v>
          </cell>
          <cell r="I47">
            <v>5745534000</v>
          </cell>
        </row>
        <row r="48">
          <cell r="D48">
            <v>3453747000</v>
          </cell>
          <cell r="I48">
            <v>3453747000</v>
          </cell>
        </row>
        <row r="49">
          <cell r="D49">
            <v>6556272000</v>
          </cell>
          <cell r="I49">
            <v>6556272000</v>
          </cell>
        </row>
        <row r="50">
          <cell r="D50">
            <v>4192958000</v>
          </cell>
          <cell r="I50">
            <v>4192958000</v>
          </cell>
        </row>
        <row r="51">
          <cell r="D51">
            <v>3744281000</v>
          </cell>
          <cell r="I51">
            <v>3744280999.9999995</v>
          </cell>
        </row>
        <row r="52">
          <cell r="D52">
            <v>7758061000</v>
          </cell>
          <cell r="I52">
            <v>7758060999.9999981</v>
          </cell>
        </row>
        <row r="53">
          <cell r="D53">
            <v>9346328999.9999981</v>
          </cell>
          <cell r="I53">
            <v>9346328999.9999981</v>
          </cell>
        </row>
        <row r="54">
          <cell r="D54">
            <v>7314472000.000001</v>
          </cell>
          <cell r="I54">
            <v>7314472000.000001</v>
          </cell>
        </row>
        <row r="55">
          <cell r="D55">
            <v>8523243000.000001</v>
          </cell>
          <cell r="I55">
            <v>8523243000</v>
          </cell>
        </row>
        <row r="56">
          <cell r="D56">
            <v>3427196000</v>
          </cell>
          <cell r="I56">
            <v>3427196000</v>
          </cell>
        </row>
        <row r="57">
          <cell r="D57">
            <v>453920000</v>
          </cell>
          <cell r="I57">
            <v>453920000</v>
          </cell>
        </row>
        <row r="58">
          <cell r="D58">
            <v>0</v>
          </cell>
        </row>
        <row r="60">
          <cell r="D60">
            <v>525450000</v>
          </cell>
          <cell r="I60">
            <v>525450000</v>
          </cell>
        </row>
        <row r="61">
          <cell r="D61">
            <v>13425000</v>
          </cell>
          <cell r="I61">
            <v>13425000</v>
          </cell>
        </row>
        <row r="62">
          <cell r="D62">
            <v>13065000</v>
          </cell>
          <cell r="I62">
            <v>13065000</v>
          </cell>
        </row>
        <row r="63">
          <cell r="D63">
            <v>14275000</v>
          </cell>
          <cell r="I63">
            <v>14275000</v>
          </cell>
        </row>
        <row r="64">
          <cell r="D64">
            <v>5625000</v>
          </cell>
          <cell r="I64">
            <v>5625000</v>
          </cell>
        </row>
        <row r="65">
          <cell r="D65">
            <v>2600000</v>
          </cell>
          <cell r="I65">
            <v>2600000</v>
          </cell>
        </row>
        <row r="66">
          <cell r="D66">
            <v>20800000</v>
          </cell>
          <cell r="I66">
            <v>20800000</v>
          </cell>
        </row>
        <row r="67">
          <cell r="D67">
            <v>11250000</v>
          </cell>
          <cell r="I67">
            <v>11250000</v>
          </cell>
        </row>
        <row r="68">
          <cell r="D68">
            <v>2261873000</v>
          </cell>
          <cell r="I68">
            <v>2243023000</v>
          </cell>
        </row>
        <row r="69">
          <cell r="D69">
            <v>16450000</v>
          </cell>
          <cell r="I69">
            <v>16450000</v>
          </cell>
        </row>
        <row r="70">
          <cell r="D70">
            <v>246122000</v>
          </cell>
          <cell r="I70">
            <v>246122000</v>
          </cell>
        </row>
        <row r="71">
          <cell r="D71">
            <v>42825000</v>
          </cell>
          <cell r="I71">
            <v>42825000</v>
          </cell>
        </row>
        <row r="72">
          <cell r="D72">
            <v>106975000</v>
          </cell>
          <cell r="I72">
            <v>106975000</v>
          </cell>
        </row>
        <row r="73">
          <cell r="D73">
            <v>1019889000</v>
          </cell>
          <cell r="I73">
            <v>1019889000</v>
          </cell>
        </row>
        <row r="74">
          <cell r="D74">
            <v>28600000</v>
          </cell>
          <cell r="I74">
            <v>28600000</v>
          </cell>
        </row>
        <row r="75">
          <cell r="D75">
            <v>11250000</v>
          </cell>
          <cell r="I75">
            <v>11250000</v>
          </cell>
        </row>
        <row r="76">
          <cell r="D76">
            <v>53225000</v>
          </cell>
          <cell r="I76">
            <v>53225000</v>
          </cell>
        </row>
        <row r="77">
          <cell r="D77">
            <v>106025000</v>
          </cell>
          <cell r="I77">
            <v>106025000</v>
          </cell>
        </row>
        <row r="78">
          <cell r="D78">
            <v>4386448000</v>
          </cell>
          <cell r="I78">
            <v>4386448000</v>
          </cell>
        </row>
        <row r="79">
          <cell r="D79">
            <v>21175000</v>
          </cell>
          <cell r="I79">
            <v>21175000</v>
          </cell>
        </row>
        <row r="80">
          <cell r="D80">
            <v>53966000</v>
          </cell>
          <cell r="I80">
            <v>53966000</v>
          </cell>
        </row>
        <row r="81">
          <cell r="D81">
            <v>50625000</v>
          </cell>
          <cell r="I81">
            <v>47600000</v>
          </cell>
        </row>
        <row r="82">
          <cell r="D82">
            <v>33325000</v>
          </cell>
          <cell r="I82">
            <v>33325000</v>
          </cell>
        </row>
        <row r="83">
          <cell r="D83">
            <v>0</v>
          </cell>
          <cell r="I83">
            <v>0</v>
          </cell>
        </row>
        <row r="84">
          <cell r="D84">
            <v>0</v>
          </cell>
        </row>
        <row r="86">
          <cell r="D86">
            <v>338986000</v>
          </cell>
          <cell r="I86">
            <v>338986000</v>
          </cell>
        </row>
        <row r="87">
          <cell r="D87">
            <v>63985000</v>
          </cell>
          <cell r="I87">
            <v>63985000</v>
          </cell>
        </row>
        <row r="88">
          <cell r="D88">
            <v>211520000</v>
          </cell>
          <cell r="I88">
            <v>211520000</v>
          </cell>
        </row>
        <row r="89">
          <cell r="D89">
            <v>122355000</v>
          </cell>
          <cell r="I89">
            <v>115955000</v>
          </cell>
        </row>
        <row r="90">
          <cell r="D90">
            <v>229560000</v>
          </cell>
          <cell r="I90">
            <v>229560000</v>
          </cell>
        </row>
        <row r="91">
          <cell r="D91">
            <v>53440000</v>
          </cell>
          <cell r="I91">
            <v>53440000</v>
          </cell>
        </row>
        <row r="92">
          <cell r="D92">
            <v>62885000</v>
          </cell>
          <cell r="I92">
            <v>62885000</v>
          </cell>
        </row>
        <row r="93">
          <cell r="D93">
            <v>86175000</v>
          </cell>
          <cell r="I93">
            <v>86175000</v>
          </cell>
        </row>
        <row r="94">
          <cell r="D94">
            <v>546944000</v>
          </cell>
          <cell r="I94">
            <v>545344000</v>
          </cell>
        </row>
        <row r="95">
          <cell r="D95">
            <v>167480000</v>
          </cell>
          <cell r="I95">
            <v>167480000</v>
          </cell>
        </row>
        <row r="96">
          <cell r="D96">
            <v>333060000</v>
          </cell>
          <cell r="I96">
            <v>333060000</v>
          </cell>
        </row>
        <row r="97">
          <cell r="D97">
            <v>212040000</v>
          </cell>
          <cell r="I97">
            <v>211760000</v>
          </cell>
        </row>
        <row r="98">
          <cell r="D98">
            <v>166030000</v>
          </cell>
          <cell r="I98">
            <v>166030000</v>
          </cell>
        </row>
        <row r="99">
          <cell r="D99">
            <v>250754000</v>
          </cell>
          <cell r="I99">
            <v>250754000</v>
          </cell>
        </row>
        <row r="100">
          <cell r="D100">
            <v>47614000</v>
          </cell>
          <cell r="I100">
            <v>47614000</v>
          </cell>
        </row>
        <row r="101">
          <cell r="D101">
            <v>300860000</v>
          </cell>
          <cell r="I101">
            <v>300860000</v>
          </cell>
        </row>
        <row r="102">
          <cell r="D102">
            <v>26420000</v>
          </cell>
          <cell r="I102">
            <v>26420000</v>
          </cell>
        </row>
        <row r="103">
          <cell r="D103">
            <v>118615000</v>
          </cell>
          <cell r="I103">
            <v>118615000</v>
          </cell>
        </row>
        <row r="104">
          <cell r="D104">
            <v>36120000</v>
          </cell>
          <cell r="I104">
            <v>36120000</v>
          </cell>
        </row>
        <row r="105">
          <cell r="D105">
            <v>151780000</v>
          </cell>
          <cell r="I105">
            <v>151780000</v>
          </cell>
        </row>
        <row r="106">
          <cell r="D106">
            <v>180080000</v>
          </cell>
          <cell r="I106">
            <v>180080000</v>
          </cell>
        </row>
        <row r="107">
          <cell r="D107">
            <v>93290000</v>
          </cell>
          <cell r="I107">
            <v>93290000</v>
          </cell>
        </row>
        <row r="108">
          <cell r="D108">
            <v>771399000</v>
          </cell>
          <cell r="I108">
            <v>771399000</v>
          </cell>
        </row>
        <row r="109">
          <cell r="D109">
            <v>75970000</v>
          </cell>
          <cell r="I109">
            <v>75970000</v>
          </cell>
        </row>
        <row r="110">
          <cell r="D110">
            <v>58575000</v>
          </cell>
          <cell r="I110">
            <v>58575000</v>
          </cell>
        </row>
        <row r="111">
          <cell r="D111">
            <v>196965000</v>
          </cell>
          <cell r="I111">
            <v>196965000</v>
          </cell>
        </row>
        <row r="112">
          <cell r="D112">
            <v>210440000</v>
          </cell>
          <cell r="I112">
            <v>210440000</v>
          </cell>
        </row>
        <row r="113">
          <cell r="D113">
            <v>198445000</v>
          </cell>
          <cell r="I113">
            <v>198445000</v>
          </cell>
        </row>
        <row r="114">
          <cell r="D114">
            <v>174880000</v>
          </cell>
          <cell r="I114">
            <v>174880000</v>
          </cell>
        </row>
        <row r="115">
          <cell r="D115">
            <v>0</v>
          </cell>
        </row>
        <row r="116">
          <cell r="D116">
            <v>0</v>
          </cell>
        </row>
        <row r="118">
          <cell r="D118">
            <v>355920000</v>
          </cell>
          <cell r="I118">
            <v>355920000</v>
          </cell>
        </row>
        <row r="119">
          <cell r="D119">
            <v>4660000</v>
          </cell>
          <cell r="I119">
            <v>4660000</v>
          </cell>
        </row>
        <row r="120">
          <cell r="D120">
            <v>10000000</v>
          </cell>
          <cell r="I120">
            <v>10000000</v>
          </cell>
        </row>
        <row r="121">
          <cell r="D121">
            <v>4660000</v>
          </cell>
          <cell r="I121">
            <v>4660000</v>
          </cell>
        </row>
        <row r="122">
          <cell r="D122">
            <v>4660000</v>
          </cell>
          <cell r="I122">
            <v>4660000</v>
          </cell>
        </row>
        <row r="123">
          <cell r="D123">
            <v>19320000</v>
          </cell>
          <cell r="I123">
            <v>19320000</v>
          </cell>
        </row>
        <row r="124">
          <cell r="D124">
            <v>9320000</v>
          </cell>
          <cell r="I124">
            <v>9320000</v>
          </cell>
        </row>
        <row r="125">
          <cell r="D125">
            <v>4660000</v>
          </cell>
          <cell r="I125">
            <v>4660000</v>
          </cell>
        </row>
        <row r="126">
          <cell r="D126">
            <v>4660000</v>
          </cell>
          <cell r="I126">
            <v>4660000</v>
          </cell>
        </row>
        <row r="127">
          <cell r="D127">
            <v>10000000</v>
          </cell>
          <cell r="I127">
            <v>10000000</v>
          </cell>
        </row>
        <row r="128">
          <cell r="D128">
            <v>10000000</v>
          </cell>
          <cell r="I128">
            <v>10000000</v>
          </cell>
        </row>
        <row r="129">
          <cell r="D129">
            <v>20000000</v>
          </cell>
          <cell r="I129">
            <v>20000000</v>
          </cell>
        </row>
        <row r="130">
          <cell r="D130">
            <v>35340000</v>
          </cell>
          <cell r="I130">
            <v>35340000</v>
          </cell>
        </row>
        <row r="131">
          <cell r="D131">
            <v>15340000</v>
          </cell>
          <cell r="I131">
            <v>15340000</v>
          </cell>
        </row>
        <row r="132">
          <cell r="D132">
            <v>24660000</v>
          </cell>
          <cell r="I132">
            <v>24660000</v>
          </cell>
        </row>
        <row r="133">
          <cell r="D133">
            <v>49424000</v>
          </cell>
          <cell r="I133">
            <v>49424000</v>
          </cell>
        </row>
        <row r="134">
          <cell r="D134">
            <v>15340000</v>
          </cell>
          <cell r="I134">
            <v>15340000</v>
          </cell>
        </row>
        <row r="136">
          <cell r="D136">
            <v>579808000</v>
          </cell>
          <cell r="I136">
            <v>579808000</v>
          </cell>
        </row>
        <row r="137">
          <cell r="D137">
            <v>1153810000</v>
          </cell>
          <cell r="I137">
            <v>1153810000</v>
          </cell>
        </row>
        <row r="138">
          <cell r="D138">
            <v>3044843650</v>
          </cell>
          <cell r="I138">
            <v>3044843650</v>
          </cell>
        </row>
        <row r="139">
          <cell r="D139">
            <v>0</v>
          </cell>
        </row>
        <row r="141">
          <cell r="D141">
            <v>15742220000</v>
          </cell>
          <cell r="I141">
            <v>15520220000</v>
          </cell>
        </row>
        <row r="142">
          <cell r="D142">
            <v>6662000000</v>
          </cell>
          <cell r="I142">
            <v>6548000000</v>
          </cell>
        </row>
        <row r="143">
          <cell r="D143">
            <v>3876520000</v>
          </cell>
          <cell r="I143">
            <v>3874629000</v>
          </cell>
        </row>
        <row r="144">
          <cell r="D144">
            <v>1225784000</v>
          </cell>
          <cell r="I144">
            <v>1225784000</v>
          </cell>
        </row>
        <row r="145">
          <cell r="D145">
            <v>5494799635</v>
          </cell>
          <cell r="I145">
            <v>5472944374</v>
          </cell>
        </row>
        <row r="146">
          <cell r="D146">
            <v>7815000000</v>
          </cell>
          <cell r="I146">
            <v>7815000000</v>
          </cell>
        </row>
        <row r="147">
          <cell r="D147">
            <v>1610422000</v>
          </cell>
          <cell r="I147">
            <v>1610422000</v>
          </cell>
        </row>
        <row r="148">
          <cell r="D148">
            <v>3924355000</v>
          </cell>
          <cell r="I148">
            <v>3923920600</v>
          </cell>
        </row>
        <row r="149">
          <cell r="D149">
            <v>500000000</v>
          </cell>
          <cell r="I149">
            <v>195477000</v>
          </cell>
        </row>
        <row r="150">
          <cell r="D150">
            <v>414400000</v>
          </cell>
          <cell r="I150">
            <v>396900000</v>
          </cell>
        </row>
        <row r="151">
          <cell r="D151">
            <v>2195000000</v>
          </cell>
          <cell r="I151">
            <v>2195000000</v>
          </cell>
        </row>
        <row r="152">
          <cell r="D152">
            <v>898765607</v>
          </cell>
          <cell r="I152">
            <v>538770654</v>
          </cell>
        </row>
        <row r="153">
          <cell r="D153">
            <v>530000000</v>
          </cell>
          <cell r="I153">
            <v>530000000</v>
          </cell>
        </row>
        <row r="155">
          <cell r="D155">
            <v>62320000</v>
          </cell>
          <cell r="I155">
            <v>62320000</v>
          </cell>
        </row>
        <row r="156">
          <cell r="D156">
            <v>1074790000</v>
          </cell>
          <cell r="I156">
            <v>1040751000</v>
          </cell>
        </row>
        <row r="157">
          <cell r="D157">
            <v>238500000</v>
          </cell>
          <cell r="I157">
            <v>238500000</v>
          </cell>
        </row>
        <row r="158">
          <cell r="D158">
            <v>124600000</v>
          </cell>
          <cell r="I158">
            <v>124600000</v>
          </cell>
        </row>
        <row r="159">
          <cell r="D159">
            <v>126100000</v>
          </cell>
          <cell r="I159">
            <v>74642000</v>
          </cell>
        </row>
        <row r="160">
          <cell r="D160">
            <v>349785000</v>
          </cell>
          <cell r="I160">
            <v>349785000</v>
          </cell>
        </row>
        <row r="161">
          <cell r="D161">
            <v>211880000</v>
          </cell>
          <cell r="I161">
            <v>211880000</v>
          </cell>
        </row>
        <row r="162">
          <cell r="D162">
            <v>665580000</v>
          </cell>
          <cell r="I162">
            <v>665580000</v>
          </cell>
        </row>
        <row r="163">
          <cell r="D163">
            <v>21200000</v>
          </cell>
          <cell r="I163">
            <v>21200000</v>
          </cell>
        </row>
        <row r="164">
          <cell r="D164">
            <v>25725000</v>
          </cell>
          <cell r="I164">
            <v>23860000</v>
          </cell>
        </row>
        <row r="165">
          <cell r="D165">
            <v>104800000</v>
          </cell>
          <cell r="I165">
            <v>104800000</v>
          </cell>
        </row>
        <row r="166">
          <cell r="D166">
            <v>127540000</v>
          </cell>
          <cell r="I166">
            <v>127540000</v>
          </cell>
        </row>
        <row r="167">
          <cell r="D167">
            <v>150500000</v>
          </cell>
          <cell r="I167">
            <v>150500000</v>
          </cell>
        </row>
        <row r="168">
          <cell r="D168">
            <v>108000000</v>
          </cell>
          <cell r="I168">
            <v>108000000</v>
          </cell>
        </row>
        <row r="169">
          <cell r="D169">
            <v>174000000</v>
          </cell>
          <cell r="I169">
            <v>174000000</v>
          </cell>
        </row>
        <row r="170">
          <cell r="D170">
            <v>97180000</v>
          </cell>
          <cell r="I170">
            <v>97180000</v>
          </cell>
        </row>
        <row r="171">
          <cell r="D171">
            <v>123000000</v>
          </cell>
          <cell r="I171">
            <v>123000000</v>
          </cell>
        </row>
        <row r="172">
          <cell r="D172">
            <v>134500000</v>
          </cell>
          <cell r="I172">
            <v>125535000</v>
          </cell>
        </row>
        <row r="173">
          <cell r="D173">
            <v>84000000</v>
          </cell>
          <cell r="I173">
            <v>84000000</v>
          </cell>
        </row>
        <row r="174">
          <cell r="D174">
            <v>62000000</v>
          </cell>
          <cell r="I174">
            <v>45070000</v>
          </cell>
        </row>
        <row r="175">
          <cell r="D175">
            <v>128000000</v>
          </cell>
          <cell r="I175">
            <v>127400000</v>
          </cell>
        </row>
        <row r="176">
          <cell r="D176">
            <v>126000000</v>
          </cell>
          <cell r="I176">
            <v>125040000</v>
          </cell>
        </row>
        <row r="177">
          <cell r="D177">
            <v>36500000</v>
          </cell>
          <cell r="I177">
            <v>36500000</v>
          </cell>
        </row>
        <row r="178">
          <cell r="D178">
            <v>133000000</v>
          </cell>
          <cell r="I178">
            <v>131200000</v>
          </cell>
        </row>
        <row r="179">
          <cell r="D179">
            <v>61500000</v>
          </cell>
          <cell r="I179">
            <v>0</v>
          </cell>
        </row>
        <row r="180">
          <cell r="D180">
            <v>91120000</v>
          </cell>
          <cell r="I180">
            <v>91120000</v>
          </cell>
        </row>
        <row r="181">
          <cell r="D181">
            <v>139800000</v>
          </cell>
          <cell r="I181">
            <v>139800000</v>
          </cell>
        </row>
        <row r="183">
          <cell r="D183">
            <v>0</v>
          </cell>
          <cell r="I183">
            <v>0</v>
          </cell>
        </row>
        <row r="184">
          <cell r="D184">
            <v>503763000</v>
          </cell>
          <cell r="I184">
            <v>503763000</v>
          </cell>
        </row>
        <row r="186">
          <cell r="D186">
            <v>3082000000</v>
          </cell>
          <cell r="I186">
            <v>3082000000</v>
          </cell>
        </row>
        <row r="187">
          <cell r="D187">
            <v>9928894348</v>
          </cell>
          <cell r="I187">
            <v>6450187000</v>
          </cell>
        </row>
        <row r="188">
          <cell r="D188">
            <v>4175000000</v>
          </cell>
          <cell r="I188">
            <v>0</v>
          </cell>
        </row>
        <row r="189">
          <cell r="D189">
            <v>845000000</v>
          </cell>
          <cell r="I189">
            <v>845000000</v>
          </cell>
        </row>
        <row r="190">
          <cell r="D190">
            <v>1049500000</v>
          </cell>
          <cell r="I190">
            <v>1049500000</v>
          </cell>
        </row>
        <row r="191">
          <cell r="D191">
            <v>1747900000</v>
          </cell>
          <cell r="I191">
            <v>1747900000</v>
          </cell>
        </row>
        <row r="192">
          <cell r="D192">
            <v>2693252000</v>
          </cell>
          <cell r="I192">
            <v>2693252000</v>
          </cell>
        </row>
        <row r="193">
          <cell r="D193">
            <v>180000000</v>
          </cell>
          <cell r="I193">
            <v>180000000</v>
          </cell>
        </row>
        <row r="194">
          <cell r="D194">
            <v>548000000</v>
          </cell>
          <cell r="I194">
            <v>548000000</v>
          </cell>
        </row>
        <row r="195">
          <cell r="D195">
            <v>152500000</v>
          </cell>
          <cell r="I195">
            <v>0</v>
          </cell>
        </row>
        <row r="198">
          <cell r="D198">
            <v>12315940000</v>
          </cell>
          <cell r="I198">
            <v>11501950500</v>
          </cell>
        </row>
        <row r="199">
          <cell r="D199">
            <v>169589000</v>
          </cell>
          <cell r="I199">
            <v>169589000</v>
          </cell>
        </row>
        <row r="200">
          <cell r="D200">
            <v>11686000000</v>
          </cell>
          <cell r="I200">
            <v>6584000000</v>
          </cell>
        </row>
        <row r="201">
          <cell r="D201">
            <v>5091353124</v>
          </cell>
          <cell r="I201">
            <v>3011353124</v>
          </cell>
        </row>
        <row r="202">
          <cell r="D202">
            <v>2989523387</v>
          </cell>
          <cell r="I202">
            <v>2666523387</v>
          </cell>
        </row>
        <row r="203">
          <cell r="D203">
            <v>4470000000</v>
          </cell>
          <cell r="I203">
            <v>4200000000</v>
          </cell>
        </row>
        <row r="204">
          <cell r="D204">
            <v>2018000000</v>
          </cell>
          <cell r="I204">
            <v>1906000000</v>
          </cell>
        </row>
        <row r="205">
          <cell r="D205">
            <v>20321887583</v>
          </cell>
          <cell r="I205">
            <v>17571728389</v>
          </cell>
        </row>
        <row r="206">
          <cell r="D206">
            <v>16934570620</v>
          </cell>
          <cell r="I206">
            <v>14947415740</v>
          </cell>
        </row>
        <row r="207">
          <cell r="D207">
            <v>25630549232</v>
          </cell>
          <cell r="I207">
            <v>22254780567</v>
          </cell>
        </row>
        <row r="208">
          <cell r="D208">
            <v>14884892000</v>
          </cell>
          <cell r="I208">
            <v>13685664925</v>
          </cell>
        </row>
        <row r="209">
          <cell r="D209">
            <v>10712429000</v>
          </cell>
          <cell r="I209">
            <v>9690660975</v>
          </cell>
        </row>
        <row r="210">
          <cell r="D210">
            <v>16724617695</v>
          </cell>
          <cell r="I210">
            <v>15525055763</v>
          </cell>
        </row>
        <row r="211">
          <cell r="D211">
            <v>16505664698</v>
          </cell>
          <cell r="I211">
            <v>15435664698</v>
          </cell>
        </row>
        <row r="212">
          <cell r="D212">
            <v>11225095500</v>
          </cell>
          <cell r="I212">
            <v>9674304000</v>
          </cell>
        </row>
        <row r="213">
          <cell r="D213">
            <v>7759980000</v>
          </cell>
          <cell r="I213">
            <v>7466494544</v>
          </cell>
        </row>
        <row r="214">
          <cell r="D214">
            <v>522386000</v>
          </cell>
          <cell r="I214">
            <v>469736000</v>
          </cell>
        </row>
        <row r="215">
          <cell r="D215">
            <v>14127645000</v>
          </cell>
          <cell r="I215">
            <v>13744645000</v>
          </cell>
        </row>
        <row r="216">
          <cell r="D216">
            <v>2140000000</v>
          </cell>
          <cell r="I216">
            <v>2140000000</v>
          </cell>
        </row>
        <row r="217">
          <cell r="D217">
            <v>2061880000</v>
          </cell>
          <cell r="I217">
            <v>2061880000</v>
          </cell>
        </row>
        <row r="218">
          <cell r="D218">
            <v>3693440000</v>
          </cell>
          <cell r="I218">
            <v>3693440000</v>
          </cell>
        </row>
        <row r="219">
          <cell r="D219">
            <v>3381440000</v>
          </cell>
          <cell r="I219">
            <v>3381440000</v>
          </cell>
        </row>
        <row r="220">
          <cell r="D220">
            <v>941000000</v>
          </cell>
          <cell r="I220">
            <v>941000000</v>
          </cell>
        </row>
        <row r="221">
          <cell r="D221">
            <v>1113000000</v>
          </cell>
          <cell r="I221">
            <v>1113000000</v>
          </cell>
        </row>
        <row r="222">
          <cell r="D222">
            <v>2398000000</v>
          </cell>
          <cell r="I222">
            <v>2396300591</v>
          </cell>
        </row>
        <row r="223">
          <cell r="D223">
            <v>244765000</v>
          </cell>
          <cell r="I223">
            <v>244765000</v>
          </cell>
        </row>
        <row r="224">
          <cell r="D224">
            <v>0</v>
          </cell>
        </row>
        <row r="227">
          <cell r="D227">
            <v>505100000</v>
          </cell>
          <cell r="I227">
            <v>502809000</v>
          </cell>
        </row>
        <row r="228">
          <cell r="D228">
            <v>315060000</v>
          </cell>
          <cell r="I228">
            <v>291202600</v>
          </cell>
        </row>
        <row r="229">
          <cell r="D229">
            <v>258780000</v>
          </cell>
          <cell r="I229">
            <v>227791500</v>
          </cell>
        </row>
        <row r="230">
          <cell r="D230">
            <v>163675000</v>
          </cell>
          <cell r="I230">
            <v>156475000</v>
          </cell>
        </row>
        <row r="231">
          <cell r="D231">
            <v>256430000</v>
          </cell>
          <cell r="I231">
            <v>237448000</v>
          </cell>
        </row>
        <row r="232">
          <cell r="D232">
            <v>265725000</v>
          </cell>
          <cell r="I232">
            <v>255525000</v>
          </cell>
        </row>
        <row r="233">
          <cell r="D233">
            <v>268935000</v>
          </cell>
          <cell r="I233">
            <v>258135000</v>
          </cell>
        </row>
        <row r="234">
          <cell r="D234">
            <v>323285000</v>
          </cell>
          <cell r="I234">
            <v>323285000</v>
          </cell>
        </row>
        <row r="235">
          <cell r="D235">
            <v>54815000</v>
          </cell>
          <cell r="I235">
            <v>51815000</v>
          </cell>
        </row>
        <row r="236">
          <cell r="D236">
            <v>138045000</v>
          </cell>
          <cell r="I236">
            <v>128475000</v>
          </cell>
        </row>
        <row r="238">
          <cell r="D238">
            <v>818000000</v>
          </cell>
          <cell r="I238">
            <v>294000000</v>
          </cell>
        </row>
        <row r="239">
          <cell r="D239">
            <v>446000000</v>
          </cell>
          <cell r="I239">
            <v>180000000</v>
          </cell>
        </row>
        <row r="240">
          <cell r="D240">
            <v>6000000</v>
          </cell>
          <cell r="I240">
            <v>6000000</v>
          </cell>
        </row>
        <row r="241">
          <cell r="D241">
            <v>80000000</v>
          </cell>
          <cell r="I241">
            <v>70000000</v>
          </cell>
        </row>
        <row r="242">
          <cell r="D242">
            <v>80000000</v>
          </cell>
          <cell r="I242">
            <v>58000000</v>
          </cell>
        </row>
        <row r="243">
          <cell r="D243">
            <v>0</v>
          </cell>
        </row>
        <row r="244">
          <cell r="D244">
            <v>0</v>
          </cell>
        </row>
        <row r="246">
          <cell r="D246">
            <v>165226000</v>
          </cell>
          <cell r="I246">
            <v>152620120</v>
          </cell>
        </row>
        <row r="247">
          <cell r="D247">
            <v>981031000</v>
          </cell>
          <cell r="I247">
            <v>970900780</v>
          </cell>
        </row>
        <row r="248">
          <cell r="D248">
            <v>2005344000</v>
          </cell>
          <cell r="I248">
            <v>1842818160</v>
          </cell>
        </row>
        <row r="249">
          <cell r="D249">
            <v>5632651000</v>
          </cell>
          <cell r="I249">
            <v>5578327860</v>
          </cell>
        </row>
        <row r="250">
          <cell r="D250">
            <v>4923417000</v>
          </cell>
          <cell r="I250">
            <v>4923417000</v>
          </cell>
        </row>
        <row r="251">
          <cell r="D251">
            <v>387989000</v>
          </cell>
          <cell r="I251">
            <v>361203580</v>
          </cell>
        </row>
        <row r="252">
          <cell r="D252">
            <v>614088000</v>
          </cell>
          <cell r="I252">
            <v>614088000</v>
          </cell>
        </row>
        <row r="253">
          <cell r="D253">
            <v>251054000</v>
          </cell>
          <cell r="I253">
            <v>251054000</v>
          </cell>
        </row>
        <row r="255">
          <cell r="D255">
            <v>639000000</v>
          </cell>
          <cell r="I255">
            <v>530600000</v>
          </cell>
        </row>
        <row r="256">
          <cell r="D256">
            <v>12000000000</v>
          </cell>
          <cell r="I256">
            <v>11000000000</v>
          </cell>
        </row>
        <row r="257">
          <cell r="D257">
            <v>17657000000</v>
          </cell>
        </row>
        <row r="258">
          <cell r="D258">
            <v>813000000</v>
          </cell>
          <cell r="I258">
            <v>813000000</v>
          </cell>
        </row>
        <row r="260">
          <cell r="I260">
            <v>160306000</v>
          </cell>
        </row>
        <row r="261">
          <cell r="I261">
            <v>65465000</v>
          </cell>
        </row>
        <row r="262">
          <cell r="I262">
            <v>378991000</v>
          </cell>
        </row>
        <row r="263">
          <cell r="I263">
            <v>478893000</v>
          </cell>
        </row>
        <row r="264">
          <cell r="I264">
            <v>0</v>
          </cell>
        </row>
        <row r="265">
          <cell r="I265">
            <v>245820000</v>
          </cell>
        </row>
        <row r="266">
          <cell r="I266">
            <v>204850000</v>
          </cell>
        </row>
        <row r="267">
          <cell r="I267">
            <v>504883000</v>
          </cell>
        </row>
        <row r="268">
          <cell r="I268">
            <v>78600000</v>
          </cell>
        </row>
        <row r="269">
          <cell r="I269">
            <v>205038000</v>
          </cell>
        </row>
        <row r="270">
          <cell r="I270">
            <v>63535000</v>
          </cell>
        </row>
        <row r="271">
          <cell r="I271">
            <v>83890000</v>
          </cell>
        </row>
        <row r="272">
          <cell r="I272">
            <v>39388000</v>
          </cell>
        </row>
        <row r="273">
          <cell r="I273">
            <v>79941000</v>
          </cell>
        </row>
        <row r="275">
          <cell r="D275">
            <v>1215000000</v>
          </cell>
          <cell r="I275">
            <v>1215000000</v>
          </cell>
        </row>
        <row r="276">
          <cell r="D276">
            <v>1768000000</v>
          </cell>
          <cell r="I276">
            <v>1768000000</v>
          </cell>
        </row>
        <row r="278">
          <cell r="D278">
            <v>3255994000</v>
          </cell>
          <cell r="I278">
            <v>3255994000</v>
          </cell>
        </row>
        <row r="279">
          <cell r="D279">
            <v>2546799000</v>
          </cell>
          <cell r="I279">
            <v>2546799000</v>
          </cell>
        </row>
        <row r="280">
          <cell r="D280">
            <v>2206365000</v>
          </cell>
          <cell r="I280">
            <v>2206365000</v>
          </cell>
        </row>
        <row r="281">
          <cell r="D281">
            <v>2566651000</v>
          </cell>
          <cell r="I281">
            <v>2566651000</v>
          </cell>
        </row>
        <row r="282">
          <cell r="D282">
            <v>4065989000</v>
          </cell>
          <cell r="I282">
            <v>3877734500</v>
          </cell>
        </row>
        <row r="283">
          <cell r="D283">
            <v>974689000</v>
          </cell>
          <cell r="I283">
            <v>974689000</v>
          </cell>
        </row>
        <row r="284">
          <cell r="D284">
            <v>3105200000</v>
          </cell>
          <cell r="I284">
            <v>3105200000</v>
          </cell>
        </row>
        <row r="286">
          <cell r="D286">
            <v>480000000</v>
          </cell>
          <cell r="I286">
            <v>480000000</v>
          </cell>
        </row>
        <row r="287">
          <cell r="D287">
            <v>95000000</v>
          </cell>
          <cell r="I287">
            <v>95000000</v>
          </cell>
        </row>
        <row r="288">
          <cell r="D288">
            <v>295000000</v>
          </cell>
        </row>
        <row r="289">
          <cell r="I289">
            <v>9872000</v>
          </cell>
        </row>
        <row r="290">
          <cell r="I290">
            <v>42571000</v>
          </cell>
        </row>
        <row r="292">
          <cell r="D292">
            <v>21286700000</v>
          </cell>
          <cell r="I292">
            <v>21286700000</v>
          </cell>
        </row>
        <row r="293">
          <cell r="D293">
            <v>10203000000</v>
          </cell>
          <cell r="I293">
            <v>10203000000</v>
          </cell>
        </row>
        <row r="295">
          <cell r="D295">
            <v>682000000</v>
          </cell>
          <cell r="I295">
            <v>682000000</v>
          </cell>
        </row>
        <row r="296">
          <cell r="D296">
            <v>2060000000</v>
          </cell>
          <cell r="I296">
            <v>2060000000</v>
          </cell>
        </row>
        <row r="298">
          <cell r="D298">
            <v>563000000</v>
          </cell>
          <cell r="I298">
            <v>563000000</v>
          </cell>
        </row>
        <row r="299">
          <cell r="D299">
            <v>477700000</v>
          </cell>
          <cell r="I299">
            <v>477700000</v>
          </cell>
        </row>
        <row r="300">
          <cell r="D300">
            <v>60000000</v>
          </cell>
          <cell r="I300">
            <v>60000000</v>
          </cell>
        </row>
        <row r="302">
          <cell r="D302">
            <v>3338500000</v>
          </cell>
          <cell r="I302">
            <v>3338500000</v>
          </cell>
        </row>
        <row r="303">
          <cell r="D303">
            <v>0</v>
          </cell>
          <cell r="I303">
            <v>0</v>
          </cell>
        </row>
        <row r="304">
          <cell r="D304">
            <v>2841487000</v>
          </cell>
          <cell r="I304">
            <v>2754996000</v>
          </cell>
        </row>
        <row r="305">
          <cell r="D305">
            <v>0</v>
          </cell>
          <cell r="I305">
            <v>0</v>
          </cell>
        </row>
        <row r="306">
          <cell r="D306">
            <v>557756000</v>
          </cell>
          <cell r="I306">
            <v>557756000</v>
          </cell>
        </row>
        <row r="307">
          <cell r="D307">
            <v>2689110000</v>
          </cell>
          <cell r="I307">
            <v>2613606000</v>
          </cell>
        </row>
        <row r="308">
          <cell r="D308">
            <v>1381500000</v>
          </cell>
          <cell r="I308">
            <v>1346571000</v>
          </cell>
        </row>
        <row r="309">
          <cell r="D309">
            <v>387000000</v>
          </cell>
          <cell r="I309">
            <v>387000000</v>
          </cell>
        </row>
        <row r="310">
          <cell r="D310">
            <v>788000000</v>
          </cell>
          <cell r="I310">
            <v>788000000</v>
          </cell>
        </row>
        <row r="311">
          <cell r="D311">
            <v>58500000</v>
          </cell>
          <cell r="I311">
            <v>52930000</v>
          </cell>
        </row>
        <row r="312">
          <cell r="D312">
            <v>189000000</v>
          </cell>
          <cell r="I312">
            <v>189000000</v>
          </cell>
        </row>
        <row r="313">
          <cell r="D313">
            <v>98050000</v>
          </cell>
          <cell r="I313">
            <v>98050000</v>
          </cell>
        </row>
        <row r="316">
          <cell r="D316">
            <v>4521000000</v>
          </cell>
          <cell r="I316">
            <v>4521000000</v>
          </cell>
        </row>
        <row r="317">
          <cell r="D317">
            <v>5036163000</v>
          </cell>
          <cell r="I317">
            <v>5025016000</v>
          </cell>
        </row>
        <row r="318">
          <cell r="D318">
            <v>7528468000</v>
          </cell>
          <cell r="I318">
            <v>7528468000</v>
          </cell>
        </row>
        <row r="319">
          <cell r="D319">
            <v>7937500000</v>
          </cell>
          <cell r="I319">
            <v>6119688800</v>
          </cell>
        </row>
        <row r="320">
          <cell r="D320">
            <v>7979513000</v>
          </cell>
          <cell r="I320">
            <v>7979513000</v>
          </cell>
        </row>
        <row r="321">
          <cell r="D321">
            <v>3923900000</v>
          </cell>
          <cell r="I321">
            <v>3781123246</v>
          </cell>
        </row>
        <row r="322">
          <cell r="D322">
            <v>4841070000</v>
          </cell>
          <cell r="I322">
            <v>4783070000</v>
          </cell>
        </row>
        <row r="323">
          <cell r="D323">
            <v>5561913000</v>
          </cell>
          <cell r="I323">
            <v>5561913000</v>
          </cell>
        </row>
        <row r="324">
          <cell r="D324">
            <v>3874169800</v>
          </cell>
          <cell r="I324">
            <v>3847564800</v>
          </cell>
        </row>
        <row r="325">
          <cell r="D325">
            <v>4503000000</v>
          </cell>
          <cell r="I325">
            <v>4503000000</v>
          </cell>
        </row>
        <row r="326">
          <cell r="D326">
            <v>3493484000</v>
          </cell>
          <cell r="I326">
            <v>3327347000</v>
          </cell>
        </row>
        <row r="327">
          <cell r="D327">
            <v>1353503000</v>
          </cell>
          <cell r="I327">
            <v>1353503000</v>
          </cell>
        </row>
        <row r="328">
          <cell r="D328">
            <v>5326603000</v>
          </cell>
          <cell r="I328">
            <v>5326603000</v>
          </cell>
        </row>
        <row r="329">
          <cell r="D329">
            <v>3575682000</v>
          </cell>
          <cell r="I329">
            <v>3575682000</v>
          </cell>
        </row>
        <row r="330">
          <cell r="D330">
            <v>6483169000</v>
          </cell>
          <cell r="I330">
            <v>6183169000</v>
          </cell>
        </row>
        <row r="331">
          <cell r="D331">
            <v>5608953000</v>
          </cell>
          <cell r="I331">
            <v>5460052683</v>
          </cell>
        </row>
        <row r="332">
          <cell r="D332">
            <v>8239467000</v>
          </cell>
          <cell r="I332">
            <v>8239467000</v>
          </cell>
        </row>
        <row r="333">
          <cell r="D333">
            <v>15131199000</v>
          </cell>
          <cell r="I333">
            <v>15126199000</v>
          </cell>
        </row>
        <row r="334">
          <cell r="D334">
            <v>200000000</v>
          </cell>
          <cell r="I334">
            <v>200000000</v>
          </cell>
        </row>
        <row r="335">
          <cell r="D335">
            <v>22466962000</v>
          </cell>
          <cell r="I335">
            <v>21158962000</v>
          </cell>
        </row>
        <row r="336">
          <cell r="D336">
            <v>20623357000</v>
          </cell>
          <cell r="I336">
            <v>20623357000</v>
          </cell>
        </row>
        <row r="337">
          <cell r="D337">
            <v>4139886000</v>
          </cell>
          <cell r="I337">
            <v>4139886000</v>
          </cell>
        </row>
        <row r="338">
          <cell r="D338">
            <v>9665262000</v>
          </cell>
          <cell r="I338">
            <v>9665262000</v>
          </cell>
        </row>
        <row r="339">
          <cell r="D339">
            <v>5882072000</v>
          </cell>
          <cell r="I339">
            <v>5882072000</v>
          </cell>
        </row>
        <row r="340">
          <cell r="D340">
            <v>2102001000</v>
          </cell>
          <cell r="I340">
            <v>2102001000</v>
          </cell>
        </row>
        <row r="341">
          <cell r="D341">
            <v>1848723000</v>
          </cell>
          <cell r="I341">
            <v>1848723000</v>
          </cell>
        </row>
        <row r="342">
          <cell r="D342">
            <v>5369887000</v>
          </cell>
          <cell r="I342">
            <v>5363673000</v>
          </cell>
        </row>
        <row r="343">
          <cell r="D343">
            <v>1888201000</v>
          </cell>
          <cell r="I343">
            <v>1888201000</v>
          </cell>
        </row>
        <row r="344">
          <cell r="D344">
            <v>1664761000</v>
          </cell>
          <cell r="I344">
            <v>1664761000</v>
          </cell>
        </row>
        <row r="345">
          <cell r="D345">
            <v>1067211000</v>
          </cell>
          <cell r="I345">
            <v>1063578000</v>
          </cell>
        </row>
        <row r="346">
          <cell r="D346">
            <v>25540209729</v>
          </cell>
          <cell r="I346">
            <v>25540209729</v>
          </cell>
        </row>
        <row r="347">
          <cell r="D347">
            <v>8839883018</v>
          </cell>
          <cell r="I347">
            <v>8839883018</v>
          </cell>
        </row>
        <row r="348">
          <cell r="D348">
            <v>3133891711</v>
          </cell>
          <cell r="I348">
            <v>3133891711</v>
          </cell>
        </row>
        <row r="349">
          <cell r="D349">
            <v>2903485000</v>
          </cell>
          <cell r="I349">
            <v>2903485000</v>
          </cell>
        </row>
        <row r="350">
          <cell r="D350">
            <v>1445783000</v>
          </cell>
          <cell r="I350">
            <v>1445783000</v>
          </cell>
        </row>
        <row r="351">
          <cell r="D351">
            <v>1918194000</v>
          </cell>
          <cell r="I351">
            <v>1918194000</v>
          </cell>
        </row>
        <row r="352">
          <cell r="D352">
            <v>1396593000</v>
          </cell>
          <cell r="I352">
            <v>1396593000</v>
          </cell>
        </row>
        <row r="353">
          <cell r="D353">
            <v>1591764000</v>
          </cell>
          <cell r="I353">
            <v>1591764000</v>
          </cell>
        </row>
        <row r="354">
          <cell r="D354">
            <v>1677454000</v>
          </cell>
          <cell r="I354">
            <v>1677454000</v>
          </cell>
        </row>
        <row r="355">
          <cell r="D355">
            <v>2633162000</v>
          </cell>
          <cell r="I355">
            <v>2633162000</v>
          </cell>
        </row>
        <row r="356">
          <cell r="D356">
            <v>1697181000</v>
          </cell>
          <cell r="I356">
            <v>1697181000</v>
          </cell>
        </row>
        <row r="357">
          <cell r="D357">
            <v>1623000000</v>
          </cell>
          <cell r="I357">
            <v>1623000000</v>
          </cell>
        </row>
        <row r="358">
          <cell r="D358">
            <v>1348873000</v>
          </cell>
          <cell r="I358">
            <v>1348873000</v>
          </cell>
        </row>
        <row r="359">
          <cell r="D359">
            <v>854525500</v>
          </cell>
          <cell r="I359">
            <v>853348000</v>
          </cell>
        </row>
        <row r="361">
          <cell r="D361">
            <v>82902073855</v>
          </cell>
          <cell r="I361">
            <v>81902073855</v>
          </cell>
        </row>
        <row r="362">
          <cell r="D362">
            <v>3449000000</v>
          </cell>
          <cell r="I362">
            <v>3449000000</v>
          </cell>
        </row>
        <row r="363">
          <cell r="D363">
            <v>7662849000</v>
          </cell>
          <cell r="I363">
            <v>7662849000</v>
          </cell>
        </row>
        <row r="364">
          <cell r="D364">
            <v>4728568000</v>
          </cell>
          <cell r="I364">
            <v>4728568000</v>
          </cell>
        </row>
        <row r="365">
          <cell r="D365">
            <v>4505558000</v>
          </cell>
          <cell r="I365">
            <v>4443350843</v>
          </cell>
        </row>
        <row r="366">
          <cell r="D366">
            <v>3468341000</v>
          </cell>
          <cell r="I366">
            <v>3468341000</v>
          </cell>
        </row>
        <row r="367">
          <cell r="D367">
            <v>2513403000</v>
          </cell>
          <cell r="I367">
            <v>2513403000</v>
          </cell>
        </row>
        <row r="368">
          <cell r="D368">
            <v>675000000</v>
          </cell>
          <cell r="I368">
            <v>658320000</v>
          </cell>
        </row>
        <row r="369">
          <cell r="D369">
            <v>488000000</v>
          </cell>
          <cell r="I369">
            <v>413462509</v>
          </cell>
        </row>
        <row r="371">
          <cell r="D371">
            <v>819000000</v>
          </cell>
          <cell r="I371">
            <v>819000000</v>
          </cell>
        </row>
        <row r="372">
          <cell r="D372">
            <v>1712400000</v>
          </cell>
          <cell r="I372">
            <v>1688604305</v>
          </cell>
        </row>
        <row r="373">
          <cell r="D373">
            <v>793272000</v>
          </cell>
          <cell r="I373">
            <v>793272000</v>
          </cell>
        </row>
        <row r="374">
          <cell r="D374">
            <v>2160739000</v>
          </cell>
          <cell r="I374">
            <v>2160739000</v>
          </cell>
        </row>
        <row r="375">
          <cell r="D375">
            <v>470441000</v>
          </cell>
          <cell r="I375">
            <v>470441000</v>
          </cell>
        </row>
        <row r="376">
          <cell r="D376">
            <v>1242460800</v>
          </cell>
          <cell r="I376">
            <v>1160109200</v>
          </cell>
        </row>
        <row r="377">
          <cell r="D377">
            <v>329734000</v>
          </cell>
          <cell r="I377">
            <v>318891188</v>
          </cell>
        </row>
        <row r="378">
          <cell r="D378">
            <v>348538934</v>
          </cell>
          <cell r="I378">
            <v>348538934</v>
          </cell>
        </row>
        <row r="379">
          <cell r="D379">
            <v>255852000</v>
          </cell>
          <cell r="I379">
            <v>255852000</v>
          </cell>
        </row>
        <row r="380">
          <cell r="D380">
            <v>80000000</v>
          </cell>
          <cell r="I380">
            <v>80000000</v>
          </cell>
        </row>
        <row r="381">
          <cell r="D381">
            <v>945902000</v>
          </cell>
          <cell r="I381">
            <v>945902000</v>
          </cell>
        </row>
        <row r="382">
          <cell r="D382">
            <v>129625066</v>
          </cell>
          <cell r="I382">
            <v>129625066</v>
          </cell>
        </row>
        <row r="383">
          <cell r="D383">
            <v>80000000</v>
          </cell>
          <cell r="I383">
            <v>80000000</v>
          </cell>
        </row>
        <row r="384">
          <cell r="D384">
            <v>166100000</v>
          </cell>
          <cell r="I384">
            <v>166100000</v>
          </cell>
        </row>
        <row r="385">
          <cell r="D385">
            <v>80000000</v>
          </cell>
          <cell r="I385">
            <v>80000000</v>
          </cell>
        </row>
        <row r="386">
          <cell r="D386">
            <v>206914000</v>
          </cell>
          <cell r="I386">
            <v>206914000</v>
          </cell>
        </row>
        <row r="387">
          <cell r="D387">
            <v>275112000</v>
          </cell>
          <cell r="I387">
            <v>275112000</v>
          </cell>
        </row>
        <row r="388">
          <cell r="D388">
            <v>369712000</v>
          </cell>
          <cell r="I388">
            <v>286712000</v>
          </cell>
        </row>
        <row r="389">
          <cell r="D389">
            <v>131000000</v>
          </cell>
          <cell r="I389">
            <v>103067500</v>
          </cell>
        </row>
        <row r="390">
          <cell r="D390">
            <v>174402000</v>
          </cell>
          <cell r="I390">
            <v>174402000</v>
          </cell>
        </row>
        <row r="391">
          <cell r="D391">
            <v>80000000</v>
          </cell>
          <cell r="I391">
            <v>80000000</v>
          </cell>
        </row>
        <row r="392">
          <cell r="D392">
            <v>40000000</v>
          </cell>
          <cell r="I392">
            <v>40000000</v>
          </cell>
        </row>
        <row r="393">
          <cell r="D393">
            <v>80000000</v>
          </cell>
          <cell r="I393">
            <v>80000000</v>
          </cell>
        </row>
        <row r="394">
          <cell r="D394">
            <v>80000000</v>
          </cell>
          <cell r="I394">
            <v>80000000</v>
          </cell>
        </row>
        <row r="395">
          <cell r="D395">
            <v>80000000</v>
          </cell>
          <cell r="I395">
            <v>80000000</v>
          </cell>
        </row>
        <row r="396">
          <cell r="D396">
            <v>110000000</v>
          </cell>
          <cell r="I396">
            <v>110000000</v>
          </cell>
        </row>
        <row r="397">
          <cell r="D397">
            <v>88300000</v>
          </cell>
          <cell r="I397">
            <v>88300000</v>
          </cell>
        </row>
        <row r="398">
          <cell r="D398">
            <v>80000000</v>
          </cell>
          <cell r="I398">
            <v>80000000</v>
          </cell>
        </row>
        <row r="401">
          <cell r="D401">
            <v>983471000</v>
          </cell>
          <cell r="I401">
            <v>983471000</v>
          </cell>
        </row>
        <row r="402">
          <cell r="D402">
            <v>2477583000</v>
          </cell>
          <cell r="I402">
            <v>2477583000</v>
          </cell>
        </row>
        <row r="403">
          <cell r="D403">
            <v>2338222000</v>
          </cell>
          <cell r="I403">
            <v>2274888100</v>
          </cell>
        </row>
        <row r="404">
          <cell r="D404">
            <v>890000000</v>
          </cell>
          <cell r="I404">
            <v>890000000</v>
          </cell>
        </row>
        <row r="405">
          <cell r="D405">
            <v>1932659000</v>
          </cell>
          <cell r="I405">
            <v>1932659000</v>
          </cell>
        </row>
        <row r="406">
          <cell r="D406">
            <v>726152000</v>
          </cell>
          <cell r="I406">
            <v>708032000</v>
          </cell>
        </row>
        <row r="407">
          <cell r="D407">
            <v>2586200000</v>
          </cell>
          <cell r="I407">
            <v>2417290800</v>
          </cell>
        </row>
        <row r="408">
          <cell r="D408">
            <v>188506000</v>
          </cell>
          <cell r="I408">
            <v>188506000</v>
          </cell>
        </row>
        <row r="409">
          <cell r="D409">
            <v>16000000</v>
          </cell>
          <cell r="I409">
            <v>16000000</v>
          </cell>
        </row>
        <row r="410">
          <cell r="D410">
            <v>442600000</v>
          </cell>
          <cell r="I410">
            <v>442600000</v>
          </cell>
        </row>
        <row r="412">
          <cell r="D412">
            <v>82900000</v>
          </cell>
          <cell r="I412">
            <v>82900000</v>
          </cell>
        </row>
        <row r="413">
          <cell r="D413">
            <v>23600000</v>
          </cell>
          <cell r="I413">
            <v>23600000</v>
          </cell>
        </row>
        <row r="414">
          <cell r="D414">
            <v>539400000</v>
          </cell>
          <cell r="I414">
            <v>539400000</v>
          </cell>
        </row>
        <row r="415">
          <cell r="D415">
            <v>395500000</v>
          </cell>
          <cell r="I415">
            <v>395500000</v>
          </cell>
        </row>
        <row r="416">
          <cell r="D416">
            <v>259200000</v>
          </cell>
          <cell r="I416">
            <v>259200000</v>
          </cell>
        </row>
        <row r="417">
          <cell r="D417">
            <v>225700000</v>
          </cell>
          <cell r="I417">
            <v>225700000</v>
          </cell>
        </row>
        <row r="418">
          <cell r="D418">
            <v>47200000</v>
          </cell>
          <cell r="I418">
            <v>47200000</v>
          </cell>
        </row>
        <row r="419">
          <cell r="D419">
            <v>118600000</v>
          </cell>
          <cell r="I419">
            <v>118600000</v>
          </cell>
        </row>
        <row r="420">
          <cell r="D420">
            <v>123100000</v>
          </cell>
          <cell r="I420">
            <v>123100000</v>
          </cell>
        </row>
        <row r="422">
          <cell r="D422">
            <v>150000000</v>
          </cell>
          <cell r="I422">
            <v>140697400</v>
          </cell>
        </row>
        <row r="424">
          <cell r="D424">
            <v>780000000</v>
          </cell>
          <cell r="I424">
            <v>779963800</v>
          </cell>
        </row>
        <row r="425">
          <cell r="D425">
            <v>40000000</v>
          </cell>
          <cell r="I425">
            <v>40000000</v>
          </cell>
        </row>
        <row r="426">
          <cell r="D426">
            <v>160000000</v>
          </cell>
          <cell r="I426">
            <v>156550000</v>
          </cell>
        </row>
        <row r="427">
          <cell r="D427">
            <v>375000000</v>
          </cell>
          <cell r="I427">
            <v>375000000</v>
          </cell>
        </row>
        <row r="429">
          <cell r="D429">
            <v>130000000</v>
          </cell>
          <cell r="I429">
            <v>129908500</v>
          </cell>
        </row>
        <row r="431">
          <cell r="D431">
            <v>100000000</v>
          </cell>
          <cell r="I431">
            <v>99754900</v>
          </cell>
        </row>
        <row r="433">
          <cell r="D433">
            <v>600000000</v>
          </cell>
          <cell r="I433">
            <v>563900000</v>
          </cell>
        </row>
        <row r="434">
          <cell r="D434">
            <v>50000000</v>
          </cell>
          <cell r="I434">
            <v>30284500</v>
          </cell>
        </row>
        <row r="435">
          <cell r="D435">
            <v>35000000</v>
          </cell>
          <cell r="I435">
            <v>28630000</v>
          </cell>
        </row>
        <row r="437">
          <cell r="I437">
            <v>316700000</v>
          </cell>
        </row>
        <row r="438">
          <cell r="I438">
            <v>270000000</v>
          </cell>
        </row>
        <row r="439">
          <cell r="I439">
            <v>589484000</v>
          </cell>
        </row>
        <row r="441">
          <cell r="D441">
            <v>2468474390</v>
          </cell>
          <cell r="I441">
            <v>1937441358</v>
          </cell>
        </row>
        <row r="443">
          <cell r="D443">
            <v>70000000</v>
          </cell>
          <cell r="I443">
            <v>70000000</v>
          </cell>
        </row>
        <row r="444">
          <cell r="D444">
            <v>16000000</v>
          </cell>
          <cell r="I444">
            <v>16000000</v>
          </cell>
        </row>
      </sheetData>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8" sqref="B28"/>
    </sheetView>
  </sheetViews>
  <sheetFormatPr defaultRowHeight="14.25"/>
  <cols>
    <col min="1" max="1" width="19" customWidth="1"/>
    <col min="2" max="2" width="82.75" customWidth="1"/>
  </cols>
  <sheetData>
    <row r="2" spans="1:2">
      <c r="A2" s="532" t="s">
        <v>1783</v>
      </c>
      <c r="B2" s="532" t="s">
        <v>1784</v>
      </c>
    </row>
    <row r="3" spans="1:2">
      <c r="A3" s="843" t="s">
        <v>0</v>
      </c>
      <c r="B3" s="533" t="s">
        <v>1785</v>
      </c>
    </row>
    <row r="4" spans="1:2">
      <c r="A4" s="533" t="s">
        <v>50</v>
      </c>
      <c r="B4" s="533" t="s">
        <v>1786</v>
      </c>
    </row>
    <row r="5" spans="1:2">
      <c r="A5" s="843" t="s">
        <v>56</v>
      </c>
      <c r="B5" s="533" t="s">
        <v>1787</v>
      </c>
    </row>
    <row r="6" spans="1:2">
      <c r="A6" s="843" t="s">
        <v>121</v>
      </c>
      <c r="B6" s="533" t="s">
        <v>1788</v>
      </c>
    </row>
    <row r="7" spans="1:2">
      <c r="A7" s="843" t="s">
        <v>130</v>
      </c>
      <c r="B7" s="533" t="s">
        <v>1789</v>
      </c>
    </row>
    <row r="8" spans="1:2" ht="25.5">
      <c r="A8" s="843" t="s">
        <v>143</v>
      </c>
      <c r="B8" s="533" t="s">
        <v>1790</v>
      </c>
    </row>
    <row r="9" spans="1:2">
      <c r="A9" s="843" t="s">
        <v>1679</v>
      </c>
      <c r="B9" s="533" t="s">
        <v>1791</v>
      </c>
    </row>
    <row r="10" spans="1:2" ht="25.5">
      <c r="A10" s="534" t="s">
        <v>157</v>
      </c>
      <c r="B10" s="534" t="s">
        <v>1792</v>
      </c>
    </row>
    <row r="11" spans="1:2" ht="25.5">
      <c r="A11" s="533" t="s">
        <v>164</v>
      </c>
      <c r="B11" s="533" t="s">
        <v>1793</v>
      </c>
    </row>
    <row r="12" spans="1:2" ht="25.5">
      <c r="A12" s="533" t="s">
        <v>1637</v>
      </c>
      <c r="B12" s="533" t="s">
        <v>1794</v>
      </c>
    </row>
    <row r="13" spans="1:2">
      <c r="A13" s="843" t="s">
        <v>166</v>
      </c>
      <c r="B13" s="533" t="s">
        <v>1795</v>
      </c>
    </row>
    <row r="14" spans="1:2">
      <c r="A14" s="843" t="s">
        <v>176</v>
      </c>
      <c r="B14" s="533" t="s">
        <v>1796</v>
      </c>
    </row>
    <row r="15" spans="1:2" ht="21" customHeight="1">
      <c r="A15" s="533" t="s">
        <v>185</v>
      </c>
      <c r="B15" s="533" t="s">
        <v>1797</v>
      </c>
    </row>
    <row r="16" spans="1:2" ht="21.75" customHeight="1">
      <c r="A16" s="844" t="s">
        <v>1628</v>
      </c>
      <c r="B16" s="534" t="s">
        <v>1798</v>
      </c>
    </row>
    <row r="17" spans="1:2" ht="27.75" customHeight="1">
      <c r="A17" s="534" t="s">
        <v>1799</v>
      </c>
      <c r="B17" s="534" t="s">
        <v>1800</v>
      </c>
    </row>
    <row r="18" spans="1:2">
      <c r="A18" s="533" t="s">
        <v>193</v>
      </c>
      <c r="B18" s="533" t="s">
        <v>1801</v>
      </c>
    </row>
    <row r="19" spans="1:2">
      <c r="A19" s="533" t="s">
        <v>201</v>
      </c>
      <c r="B19" s="533" t="s">
        <v>1802</v>
      </c>
    </row>
    <row r="21" spans="1:2">
      <c r="A21" s="1042" t="s">
        <v>2397</v>
      </c>
      <c r="B21" s="1042"/>
    </row>
    <row r="22" spans="1:2">
      <c r="B22" s="525" t="s">
        <v>2</v>
      </c>
    </row>
    <row r="25" spans="1:2">
      <c r="B25" t="s">
        <v>2628</v>
      </c>
    </row>
  </sheetData>
  <mergeCells count="1">
    <mergeCell ref="A21:B21"/>
  </mergeCells>
  <pageMargins left="0.7" right="0.7" top="0.75" bottom="0.75" header="0.3" footer="0.3"/>
  <pageSetup paperSize="8" scale="12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73"/>
  <sheetViews>
    <sheetView view="pageBreakPreview" topLeftCell="A442" zoomScale="60" zoomScaleNormal="70" workbookViewId="0">
      <selection activeCell="R442" sqref="R1:AB65536"/>
    </sheetView>
  </sheetViews>
  <sheetFormatPr defaultColWidth="9.125" defaultRowHeight="15.75"/>
  <cols>
    <col min="1" max="1" width="7.375" style="181" customWidth="1"/>
    <col min="2" max="2" width="37.875" style="210" customWidth="1"/>
    <col min="3" max="3" width="14" style="575" customWidth="1"/>
    <col min="4" max="4" width="15" style="575" customWidth="1"/>
    <col min="5" max="5" width="17.125" style="575" customWidth="1"/>
    <col min="6" max="6" width="13.875" style="575" customWidth="1"/>
    <col min="7" max="7" width="13.25" style="575" customWidth="1"/>
    <col min="8" max="8" width="12.75" style="575" customWidth="1"/>
    <col min="9" max="9" width="7.625" style="575" hidden="1" customWidth="1"/>
    <col min="10" max="10" width="9.125" style="575" hidden="1" customWidth="1"/>
    <col min="11" max="11" width="15.375" style="575" customWidth="1"/>
    <col min="12" max="12" width="14.75" style="575" customWidth="1"/>
    <col min="13" max="13" width="12.75" style="575" customWidth="1"/>
    <col min="14" max="14" width="17.625" style="575" customWidth="1"/>
    <col min="15" max="15" width="14.375" style="575" customWidth="1"/>
    <col min="16" max="16" width="14.875" style="575" customWidth="1"/>
    <col min="17" max="17" width="15" style="575" customWidth="1"/>
    <col min="18" max="16384" width="9.125" style="181"/>
  </cols>
  <sheetData>
    <row r="1" spans="1:17" ht="15.75" customHeight="1">
      <c r="O1" s="1117" t="s">
        <v>1637</v>
      </c>
      <c r="P1" s="1117"/>
      <c r="Q1" s="1117"/>
    </row>
    <row r="2" spans="1:17" ht="51.75" customHeight="1">
      <c r="A2" s="1072" t="s">
        <v>2406</v>
      </c>
      <c r="B2" s="1073"/>
      <c r="C2" s="1073"/>
      <c r="D2" s="1073"/>
      <c r="E2" s="1073"/>
      <c r="F2" s="1073"/>
      <c r="G2" s="1073"/>
      <c r="H2" s="1073"/>
      <c r="I2" s="1073"/>
      <c r="J2" s="1073"/>
      <c r="K2" s="1073"/>
      <c r="L2" s="1073"/>
      <c r="M2" s="1073"/>
      <c r="N2" s="1073"/>
      <c r="O2" s="1073"/>
      <c r="P2" s="1073"/>
      <c r="Q2" s="1073"/>
    </row>
    <row r="3" spans="1:17" ht="33" customHeight="1">
      <c r="A3" s="1120" t="s">
        <v>2397</v>
      </c>
      <c r="B3" s="1120"/>
      <c r="C3" s="1120"/>
      <c r="D3" s="1120"/>
      <c r="E3" s="1120"/>
      <c r="F3" s="1120"/>
      <c r="G3" s="1120"/>
      <c r="H3" s="1120"/>
      <c r="I3" s="1120"/>
      <c r="J3" s="1120"/>
      <c r="K3" s="1120"/>
      <c r="L3" s="1120"/>
      <c r="M3" s="1120"/>
      <c r="N3" s="1120"/>
      <c r="O3" s="1120"/>
      <c r="P3" s="1120"/>
      <c r="Q3" s="1120"/>
    </row>
    <row r="4" spans="1:17" ht="18" customHeight="1">
      <c r="D4" s="763"/>
      <c r="N4" s="755"/>
      <c r="P4" s="1113"/>
      <c r="Q4" s="1113"/>
    </row>
    <row r="5" spans="1:17">
      <c r="C5" s="762"/>
      <c r="D5" s="762"/>
      <c r="E5" s="762"/>
      <c r="F5" s="762"/>
      <c r="G5" s="913"/>
      <c r="H5" s="762"/>
      <c r="I5" s="762"/>
      <c r="J5" s="762"/>
      <c r="K5" s="762"/>
      <c r="L5" s="914"/>
      <c r="M5" s="764"/>
      <c r="N5" s="753"/>
      <c r="O5" s="181"/>
      <c r="P5" s="551" t="s">
        <v>2</v>
      </c>
      <c r="Q5" s="181"/>
    </row>
    <row r="6" spans="1:17" ht="18" customHeight="1">
      <c r="A6" s="1075" t="s">
        <v>3</v>
      </c>
      <c r="B6" s="1075" t="s">
        <v>152</v>
      </c>
      <c r="C6" s="1076" t="s">
        <v>2413</v>
      </c>
      <c r="D6" s="1076" t="s">
        <v>1638</v>
      </c>
      <c r="E6" s="1114" t="s">
        <v>144</v>
      </c>
      <c r="F6" s="1115"/>
      <c r="G6" s="1115"/>
      <c r="H6" s="1115"/>
      <c r="I6" s="1115"/>
      <c r="J6" s="1115"/>
      <c r="K6" s="1115"/>
      <c r="L6" s="1115"/>
      <c r="M6" s="1116"/>
      <c r="N6" s="1075" t="s">
        <v>1639</v>
      </c>
      <c r="O6" s="1075" t="s">
        <v>1640</v>
      </c>
      <c r="P6" s="1075" t="s">
        <v>158</v>
      </c>
      <c r="Q6" s="1075"/>
    </row>
    <row r="7" spans="1:17" ht="24" customHeight="1">
      <c r="A7" s="1075"/>
      <c r="B7" s="1075"/>
      <c r="C7" s="1112"/>
      <c r="D7" s="1112"/>
      <c r="E7" s="1118" t="s">
        <v>1641</v>
      </c>
      <c r="F7" s="1114" t="s">
        <v>1803</v>
      </c>
      <c r="G7" s="1115"/>
      <c r="H7" s="1115"/>
      <c r="I7" s="1116"/>
      <c r="J7" s="1075" t="s">
        <v>1804</v>
      </c>
      <c r="K7" s="1075" t="s">
        <v>2679</v>
      </c>
      <c r="L7" s="1075" t="s">
        <v>2670</v>
      </c>
      <c r="M7" s="1076" t="s">
        <v>1805</v>
      </c>
      <c r="N7" s="1075"/>
      <c r="O7" s="1075"/>
      <c r="P7" s="1076" t="s">
        <v>1642</v>
      </c>
      <c r="Q7" s="1076" t="s">
        <v>1643</v>
      </c>
    </row>
    <row r="8" spans="1:17" ht="62.25" customHeight="1">
      <c r="A8" s="1075"/>
      <c r="B8" s="1075"/>
      <c r="C8" s="1077"/>
      <c r="D8" s="1077"/>
      <c r="E8" s="1119"/>
      <c r="F8" s="187" t="s">
        <v>1806</v>
      </c>
      <c r="G8" s="187" t="s">
        <v>2692</v>
      </c>
      <c r="H8" s="187" t="s">
        <v>2693</v>
      </c>
      <c r="I8" s="187" t="s">
        <v>1807</v>
      </c>
      <c r="J8" s="1075"/>
      <c r="K8" s="1075"/>
      <c r="L8" s="1075"/>
      <c r="M8" s="1077"/>
      <c r="N8" s="1075"/>
      <c r="O8" s="1075"/>
      <c r="P8" s="1077"/>
      <c r="Q8" s="1077"/>
    </row>
    <row r="9" spans="1:17" s="931" customFormat="1" ht="27.75" customHeight="1">
      <c r="A9" s="119" t="s">
        <v>9</v>
      </c>
      <c r="B9" s="119" t="s">
        <v>10</v>
      </c>
      <c r="C9" s="119" t="s">
        <v>39</v>
      </c>
      <c r="D9" s="119" t="s">
        <v>1919</v>
      </c>
      <c r="E9" s="119">
        <v>2</v>
      </c>
      <c r="F9" s="119">
        <v>3</v>
      </c>
      <c r="G9" s="119">
        <v>4</v>
      </c>
      <c r="H9" s="119">
        <v>5</v>
      </c>
      <c r="I9" s="119">
        <v>6</v>
      </c>
      <c r="J9" s="119">
        <v>7</v>
      </c>
      <c r="K9" s="119">
        <v>8</v>
      </c>
      <c r="L9" s="119">
        <v>9</v>
      </c>
      <c r="M9" s="119">
        <v>10</v>
      </c>
      <c r="N9" s="119">
        <v>11</v>
      </c>
      <c r="O9" s="119" t="s">
        <v>2414</v>
      </c>
      <c r="P9" s="119">
        <v>13</v>
      </c>
      <c r="Q9" s="119">
        <v>14</v>
      </c>
    </row>
    <row r="10" spans="1:17">
      <c r="A10" s="187" t="s">
        <v>9</v>
      </c>
      <c r="B10" s="535" t="s">
        <v>31</v>
      </c>
      <c r="C10" s="806">
        <v>60466.180978999997</v>
      </c>
      <c r="D10" s="806">
        <v>2040084.728134</v>
      </c>
      <c r="E10" s="806">
        <v>1646079.92233</v>
      </c>
      <c r="F10" s="806">
        <v>385777.52644200012</v>
      </c>
      <c r="G10" s="806">
        <v>42862.09</v>
      </c>
      <c r="H10" s="806">
        <v>32745.394</v>
      </c>
      <c r="I10" s="806">
        <v>101</v>
      </c>
      <c r="J10" s="806">
        <v>5795.294578</v>
      </c>
      <c r="K10" s="806">
        <v>47533.627603999994</v>
      </c>
      <c r="L10" s="806">
        <v>24976.426412000001</v>
      </c>
      <c r="M10" s="806">
        <v>37.523200000000003</v>
      </c>
      <c r="N10" s="806">
        <v>2019613.2255259999</v>
      </c>
      <c r="O10" s="806">
        <v>90142.205587000004</v>
      </c>
      <c r="P10" s="806">
        <v>70435.58382</v>
      </c>
      <c r="Q10" s="806">
        <v>19710.661766999994</v>
      </c>
    </row>
    <row r="11" spans="1:17">
      <c r="A11" s="187" t="s">
        <v>1644</v>
      </c>
      <c r="B11" s="535" t="s">
        <v>1645</v>
      </c>
      <c r="C11" s="806">
        <v>2893.6442450000004</v>
      </c>
      <c r="D11" s="806">
        <v>404468.22527000011</v>
      </c>
      <c r="E11" s="806">
        <v>343428</v>
      </c>
      <c r="F11" s="806">
        <v>20671.565527999999</v>
      </c>
      <c r="G11" s="806">
        <v>19084.301999999996</v>
      </c>
      <c r="H11" s="806">
        <v>24161.436000000002</v>
      </c>
      <c r="I11" s="806">
        <v>101</v>
      </c>
      <c r="J11" s="806">
        <v>2231.294578</v>
      </c>
      <c r="K11" s="806">
        <v>3231.2003300000001</v>
      </c>
      <c r="L11" s="806">
        <v>1825.1725059999999</v>
      </c>
      <c r="M11" s="806">
        <v>0</v>
      </c>
      <c r="N11" s="806">
        <v>400801.60539500002</v>
      </c>
      <c r="O11" s="806">
        <v>6560.2641199999998</v>
      </c>
      <c r="P11" s="806">
        <v>2622.2250829999998</v>
      </c>
      <c r="Q11" s="806">
        <v>3938.0390369999991</v>
      </c>
    </row>
    <row r="12" spans="1:17">
      <c r="A12" s="186" t="s">
        <v>14</v>
      </c>
      <c r="B12" s="190" t="s">
        <v>1509</v>
      </c>
      <c r="C12" s="806">
        <v>2150.9592450000005</v>
      </c>
      <c r="D12" s="806">
        <v>261502.66227000009</v>
      </c>
      <c r="E12" s="806">
        <v>214326</v>
      </c>
      <c r="F12" s="806">
        <v>14921.314528000001</v>
      </c>
      <c r="G12" s="806">
        <v>13043.897999999999</v>
      </c>
      <c r="H12" s="806">
        <v>21101.293000000001</v>
      </c>
      <c r="I12" s="806">
        <v>101</v>
      </c>
      <c r="J12" s="806">
        <v>2231.294578</v>
      </c>
      <c r="K12" s="806">
        <v>2396.96533</v>
      </c>
      <c r="L12" s="806">
        <v>1825.1725059999999</v>
      </c>
      <c r="M12" s="806">
        <v>0</v>
      </c>
      <c r="N12" s="806">
        <v>260802.40071900003</v>
      </c>
      <c r="O12" s="806">
        <v>2851.2207960000014</v>
      </c>
      <c r="P12" s="806">
        <v>1661.082083</v>
      </c>
      <c r="Q12" s="806">
        <v>1190.1387129999991</v>
      </c>
    </row>
    <row r="13" spans="1:17">
      <c r="A13" s="197">
        <v>1</v>
      </c>
      <c r="B13" s="202" t="s">
        <v>2260</v>
      </c>
      <c r="C13" s="807"/>
      <c r="D13" s="807">
        <v>23579.343000000001</v>
      </c>
      <c r="E13" s="807">
        <v>17977</v>
      </c>
      <c r="F13" s="807">
        <v>553.51300000000003</v>
      </c>
      <c r="G13" s="807">
        <v>26</v>
      </c>
      <c r="H13" s="807">
        <v>5022.83</v>
      </c>
      <c r="I13" s="807"/>
      <c r="J13" s="807"/>
      <c r="K13" s="807"/>
      <c r="L13" s="807"/>
      <c r="M13" s="807"/>
      <c r="N13" s="807">
        <v>22499.589</v>
      </c>
      <c r="O13" s="576">
        <v>1079.7540000000008</v>
      </c>
      <c r="P13" s="807">
        <v>1079.7539999999999</v>
      </c>
      <c r="Q13" s="807"/>
    </row>
    <row r="14" spans="1:17">
      <c r="A14" s="197">
        <v>2</v>
      </c>
      <c r="B14" s="202" t="s">
        <v>1526</v>
      </c>
      <c r="C14" s="807"/>
      <c r="D14" s="807">
        <v>28568.444</v>
      </c>
      <c r="E14" s="807">
        <v>19595</v>
      </c>
      <c r="F14" s="807">
        <v>915.98099999999999</v>
      </c>
      <c r="G14" s="807">
        <v>1685.2</v>
      </c>
      <c r="H14" s="807">
        <v>6372.2629999999999</v>
      </c>
      <c r="I14" s="807"/>
      <c r="J14" s="807"/>
      <c r="K14" s="807"/>
      <c r="L14" s="807"/>
      <c r="M14" s="807"/>
      <c r="N14" s="807">
        <v>28568.444</v>
      </c>
      <c r="O14" s="576">
        <v>0</v>
      </c>
      <c r="P14" s="807"/>
      <c r="Q14" s="807"/>
    </row>
    <row r="15" spans="1:17">
      <c r="A15" s="197">
        <v>3</v>
      </c>
      <c r="B15" s="202" t="s">
        <v>2415</v>
      </c>
      <c r="C15" s="805"/>
      <c r="D15" s="576">
        <v>5585.0240000000003</v>
      </c>
      <c r="E15" s="576">
        <v>5108</v>
      </c>
      <c r="F15" s="576"/>
      <c r="G15" s="576">
        <v>477.02399999999994</v>
      </c>
      <c r="H15" s="576"/>
      <c r="I15" s="576"/>
      <c r="J15" s="576"/>
      <c r="K15" s="576"/>
      <c r="L15" s="576"/>
      <c r="M15" s="576"/>
      <c r="N15" s="576">
        <v>5485.6859999999997</v>
      </c>
      <c r="O15" s="576">
        <v>99.338000000000648</v>
      </c>
      <c r="P15" s="576">
        <v>63.506</v>
      </c>
      <c r="Q15" s="576">
        <v>35.832000000000001</v>
      </c>
    </row>
    <row r="16" spans="1:17">
      <c r="A16" s="197">
        <v>4</v>
      </c>
      <c r="B16" s="202" t="s">
        <v>1511</v>
      </c>
      <c r="C16" s="805">
        <v>110.38200000000001</v>
      </c>
      <c r="D16" s="807">
        <v>7079.3320000000003</v>
      </c>
      <c r="E16" s="576">
        <v>5740</v>
      </c>
      <c r="F16" s="576">
        <v>714.64599999999996</v>
      </c>
      <c r="G16" s="576">
        <v>52.078000000000003</v>
      </c>
      <c r="H16" s="576">
        <v>677.04499999999996</v>
      </c>
      <c r="I16" s="576"/>
      <c r="J16" s="576"/>
      <c r="K16" s="576">
        <v>104.437</v>
      </c>
      <c r="L16" s="805"/>
      <c r="M16" s="805"/>
      <c r="N16" s="805">
        <v>7158.9887999999992</v>
      </c>
      <c r="O16" s="576">
        <v>30.725200000000768</v>
      </c>
      <c r="P16" s="576"/>
      <c r="Q16" s="805">
        <v>30.725200000000001</v>
      </c>
    </row>
    <row r="17" spans="1:17">
      <c r="A17" s="197">
        <v>5</v>
      </c>
      <c r="B17" s="202" t="s">
        <v>1512</v>
      </c>
      <c r="C17" s="805"/>
      <c r="D17" s="807">
        <v>8151.5159999999996</v>
      </c>
      <c r="E17" s="576">
        <v>6706</v>
      </c>
      <c r="F17" s="576">
        <v>496.07600000000002</v>
      </c>
      <c r="G17" s="576">
        <v>674.92000000000007</v>
      </c>
      <c r="H17" s="576">
        <v>274.52</v>
      </c>
      <c r="I17" s="576"/>
      <c r="J17" s="576"/>
      <c r="K17" s="576"/>
      <c r="L17" s="805"/>
      <c r="M17" s="805"/>
      <c r="N17" s="805">
        <v>8151.5160000000005</v>
      </c>
      <c r="O17" s="576">
        <v>0</v>
      </c>
      <c r="P17" s="576"/>
      <c r="Q17" s="805"/>
    </row>
    <row r="18" spans="1:17">
      <c r="A18" s="197">
        <v>6</v>
      </c>
      <c r="B18" s="202" t="s">
        <v>1513</v>
      </c>
      <c r="C18" s="805">
        <v>23.167000000000002</v>
      </c>
      <c r="D18" s="576">
        <v>8742</v>
      </c>
      <c r="E18" s="576">
        <v>6026</v>
      </c>
      <c r="F18" s="576">
        <v>2446</v>
      </c>
      <c r="G18" s="576">
        <v>270</v>
      </c>
      <c r="H18" s="576"/>
      <c r="I18" s="576"/>
      <c r="J18" s="576"/>
      <c r="K18" s="576"/>
      <c r="L18" s="576"/>
      <c r="M18" s="805"/>
      <c r="N18" s="598">
        <v>8613.3358000000007</v>
      </c>
      <c r="O18" s="576">
        <v>151.83119999999872</v>
      </c>
      <c r="P18" s="576"/>
      <c r="Q18" s="805">
        <v>151.8312</v>
      </c>
    </row>
    <row r="19" spans="1:17">
      <c r="A19" s="197">
        <v>7</v>
      </c>
      <c r="B19" s="202" t="s">
        <v>1808</v>
      </c>
      <c r="C19" s="805">
        <v>756</v>
      </c>
      <c r="D19" s="576">
        <v>1925.36</v>
      </c>
      <c r="E19" s="576">
        <v>1880</v>
      </c>
      <c r="F19" s="576"/>
      <c r="G19" s="576">
        <v>45.36</v>
      </c>
      <c r="H19" s="576"/>
      <c r="I19" s="576"/>
      <c r="J19" s="576"/>
      <c r="K19" s="576"/>
      <c r="L19" s="805"/>
      <c r="M19" s="805"/>
      <c r="N19" s="598">
        <v>2681.3599999999997</v>
      </c>
      <c r="O19" s="576">
        <v>0</v>
      </c>
      <c r="P19" s="576"/>
      <c r="Q19" s="805"/>
    </row>
    <row r="20" spans="1:17">
      <c r="A20" s="197">
        <v>8</v>
      </c>
      <c r="B20" s="202" t="s">
        <v>1535</v>
      </c>
      <c r="C20" s="805"/>
      <c r="D20" s="807">
        <v>1348</v>
      </c>
      <c r="E20" s="576">
        <v>1310</v>
      </c>
      <c r="F20" s="576">
        <v>38</v>
      </c>
      <c r="G20" s="576"/>
      <c r="H20" s="576"/>
      <c r="I20" s="576"/>
      <c r="J20" s="576"/>
      <c r="K20" s="576"/>
      <c r="L20" s="805"/>
      <c r="M20" s="805"/>
      <c r="N20" s="598">
        <v>1312.8069</v>
      </c>
      <c r="O20" s="576">
        <v>35.193099999999959</v>
      </c>
      <c r="P20" s="576"/>
      <c r="Q20" s="805">
        <v>35.193100000000001</v>
      </c>
    </row>
    <row r="21" spans="1:17">
      <c r="A21" s="197">
        <v>9</v>
      </c>
      <c r="B21" s="202" t="s">
        <v>1514</v>
      </c>
      <c r="C21" s="805"/>
      <c r="D21" s="807">
        <v>9742.6319999999996</v>
      </c>
      <c r="E21" s="576">
        <v>8167</v>
      </c>
      <c r="F21" s="576">
        <v>557.33199999999999</v>
      </c>
      <c r="G21" s="598">
        <v>142.80000000000001</v>
      </c>
      <c r="H21" s="576">
        <v>875.5</v>
      </c>
      <c r="I21" s="576"/>
      <c r="J21" s="576"/>
      <c r="K21" s="576"/>
      <c r="L21" s="805"/>
      <c r="M21" s="805"/>
      <c r="N21" s="805">
        <v>9687.1039509999991</v>
      </c>
      <c r="O21" s="576">
        <v>55.528049000000465</v>
      </c>
      <c r="P21" s="576">
        <v>0.2</v>
      </c>
      <c r="Q21" s="805">
        <v>55.328049</v>
      </c>
    </row>
    <row r="22" spans="1:17">
      <c r="A22" s="197">
        <v>10</v>
      </c>
      <c r="B22" s="202" t="s">
        <v>545</v>
      </c>
      <c r="C22" s="805"/>
      <c r="D22" s="807">
        <v>5989.8266699999995</v>
      </c>
      <c r="E22" s="576">
        <v>5154</v>
      </c>
      <c r="F22" s="576"/>
      <c r="G22" s="576">
        <v>1893.4349999999999</v>
      </c>
      <c r="H22" s="576"/>
      <c r="I22" s="576"/>
      <c r="J22" s="576"/>
      <c r="K22" s="576">
        <v>1057.60833</v>
      </c>
      <c r="L22" s="805"/>
      <c r="M22" s="805"/>
      <c r="N22" s="805">
        <v>5973.6358700000001</v>
      </c>
      <c r="O22" s="576">
        <v>16.190799999999399</v>
      </c>
      <c r="P22" s="576"/>
      <c r="Q22" s="805">
        <v>16.190799999999999</v>
      </c>
    </row>
    <row r="23" spans="1:17">
      <c r="A23" s="197">
        <v>11</v>
      </c>
      <c r="B23" s="202" t="s">
        <v>512</v>
      </c>
      <c r="C23" s="807"/>
      <c r="D23" s="807">
        <v>8580.69</v>
      </c>
      <c r="E23" s="576">
        <v>8116</v>
      </c>
      <c r="F23" s="576"/>
      <c r="G23" s="598">
        <v>308.37</v>
      </c>
      <c r="H23" s="576">
        <v>156.32</v>
      </c>
      <c r="I23" s="576"/>
      <c r="J23" s="576"/>
      <c r="K23" s="805"/>
      <c r="L23" s="576"/>
      <c r="M23" s="576"/>
      <c r="N23" s="805">
        <v>8533.0769710000004</v>
      </c>
      <c r="O23" s="576">
        <v>47.613029000000097</v>
      </c>
      <c r="P23" s="576"/>
      <c r="Q23" s="805">
        <v>47.613028999999997</v>
      </c>
    </row>
    <row r="24" spans="1:17">
      <c r="A24" s="197">
        <v>12</v>
      </c>
      <c r="B24" s="202" t="s">
        <v>1515</v>
      </c>
      <c r="C24" s="805"/>
      <c r="D24" s="807">
        <v>6027</v>
      </c>
      <c r="E24" s="805">
        <v>5794</v>
      </c>
      <c r="F24" s="805"/>
      <c r="G24" s="576">
        <v>233</v>
      </c>
      <c r="H24" s="576"/>
      <c r="I24" s="576"/>
      <c r="J24" s="576"/>
      <c r="K24" s="576"/>
      <c r="L24" s="805"/>
      <c r="M24" s="805"/>
      <c r="N24" s="805">
        <v>6027</v>
      </c>
      <c r="O24" s="576">
        <v>0</v>
      </c>
      <c r="P24" s="576"/>
      <c r="Q24" s="805"/>
    </row>
    <row r="25" spans="1:17">
      <c r="A25" s="197">
        <v>13</v>
      </c>
      <c r="B25" s="202" t="s">
        <v>1516</v>
      </c>
      <c r="C25" s="805"/>
      <c r="D25" s="807">
        <v>7656.7145</v>
      </c>
      <c r="E25" s="576">
        <v>5621</v>
      </c>
      <c r="F25" s="576">
        <v>602.4575000000001</v>
      </c>
      <c r="G25" s="576">
        <v>246</v>
      </c>
      <c r="H25" s="576">
        <v>175.25700000000001</v>
      </c>
      <c r="I25" s="576"/>
      <c r="J25" s="576">
        <v>1012</v>
      </c>
      <c r="K25" s="576"/>
      <c r="L25" s="805"/>
      <c r="M25" s="805"/>
      <c r="N25" s="576">
        <v>7621.4913000000006</v>
      </c>
      <c r="O25" s="576">
        <v>35.223199999999451</v>
      </c>
      <c r="P25" s="576"/>
      <c r="Q25" s="576">
        <v>35.223200000000006</v>
      </c>
    </row>
    <row r="26" spans="1:17">
      <c r="A26" s="197">
        <v>14</v>
      </c>
      <c r="B26" s="202" t="s">
        <v>1548</v>
      </c>
      <c r="C26" s="805"/>
      <c r="D26" s="807">
        <v>1428</v>
      </c>
      <c r="E26" s="576">
        <v>1428</v>
      </c>
      <c r="F26" s="576"/>
      <c r="G26" s="576"/>
      <c r="H26" s="576"/>
      <c r="I26" s="576"/>
      <c r="J26" s="576"/>
      <c r="K26" s="576"/>
      <c r="L26" s="805"/>
      <c r="M26" s="805"/>
      <c r="N26" s="576">
        <v>1428</v>
      </c>
      <c r="O26" s="576">
        <v>0</v>
      </c>
      <c r="P26" s="576"/>
      <c r="Q26" s="805"/>
    </row>
    <row r="27" spans="1:17">
      <c r="A27" s="197">
        <v>15</v>
      </c>
      <c r="B27" s="202" t="s">
        <v>1549</v>
      </c>
      <c r="C27" s="576"/>
      <c r="D27" s="807">
        <v>0</v>
      </c>
      <c r="E27" s="576">
        <v>1012</v>
      </c>
      <c r="F27" s="576"/>
      <c r="G27" s="576"/>
      <c r="H27" s="576"/>
      <c r="I27" s="576"/>
      <c r="J27" s="576"/>
      <c r="K27" s="576">
        <v>1012</v>
      </c>
      <c r="L27" s="805"/>
      <c r="M27" s="805"/>
      <c r="N27" s="576"/>
      <c r="O27" s="576">
        <v>0</v>
      </c>
      <c r="P27" s="576"/>
      <c r="Q27" s="805"/>
    </row>
    <row r="28" spans="1:17">
      <c r="A28" s="197">
        <v>16</v>
      </c>
      <c r="B28" s="202" t="s">
        <v>525</v>
      </c>
      <c r="C28" s="805"/>
      <c r="D28" s="807">
        <v>4912</v>
      </c>
      <c r="E28" s="576">
        <v>4832</v>
      </c>
      <c r="F28" s="576">
        <v>80</v>
      </c>
      <c r="G28" s="576"/>
      <c r="H28" s="805"/>
      <c r="I28" s="805"/>
      <c r="J28" s="805"/>
      <c r="K28" s="805"/>
      <c r="L28" s="805"/>
      <c r="M28" s="805"/>
      <c r="N28" s="805">
        <v>4912</v>
      </c>
      <c r="O28" s="576">
        <v>0</v>
      </c>
      <c r="P28" s="576"/>
      <c r="Q28" s="805"/>
    </row>
    <row r="29" spans="1:17">
      <c r="A29" s="197">
        <v>17</v>
      </c>
      <c r="B29" s="202" t="s">
        <v>1531</v>
      </c>
      <c r="C29" s="805"/>
      <c r="D29" s="807">
        <v>2187.8339999999998</v>
      </c>
      <c r="E29" s="576">
        <v>2050</v>
      </c>
      <c r="F29" s="576">
        <v>157.834</v>
      </c>
      <c r="G29" s="576"/>
      <c r="H29" s="805"/>
      <c r="I29" s="805"/>
      <c r="J29" s="805"/>
      <c r="K29" s="805"/>
      <c r="L29" s="805">
        <v>20</v>
      </c>
      <c r="M29" s="805"/>
      <c r="N29" s="805">
        <v>2187.8339999999998</v>
      </c>
      <c r="O29" s="576">
        <v>0</v>
      </c>
      <c r="P29" s="576"/>
      <c r="Q29" s="805"/>
    </row>
    <row r="30" spans="1:17">
      <c r="A30" s="197">
        <v>18</v>
      </c>
      <c r="B30" s="202" t="s">
        <v>1646</v>
      </c>
      <c r="C30" s="805"/>
      <c r="D30" s="807">
        <v>2270.7240999999999</v>
      </c>
      <c r="E30" s="576">
        <v>2117</v>
      </c>
      <c r="F30" s="576">
        <v>199.11602799999997</v>
      </c>
      <c r="G30" s="576"/>
      <c r="H30" s="805"/>
      <c r="I30" s="805"/>
      <c r="J30" s="805"/>
      <c r="K30" s="805"/>
      <c r="L30" s="805">
        <v>45.391928</v>
      </c>
      <c r="M30" s="805"/>
      <c r="N30" s="805">
        <v>2270.7240999999999</v>
      </c>
      <c r="O30" s="576">
        <v>0</v>
      </c>
      <c r="P30" s="576"/>
      <c r="Q30" s="805"/>
    </row>
    <row r="31" spans="1:17">
      <c r="A31" s="197">
        <v>19</v>
      </c>
      <c r="B31" s="202" t="s">
        <v>1517</v>
      </c>
      <c r="C31" s="805"/>
      <c r="D31" s="807">
        <v>5081.5985780000001</v>
      </c>
      <c r="E31" s="576">
        <v>3690</v>
      </c>
      <c r="F31" s="576">
        <v>405.09699999999998</v>
      </c>
      <c r="G31" s="576"/>
      <c r="H31" s="576"/>
      <c r="I31" s="576"/>
      <c r="J31" s="576">
        <v>986.50157799999999</v>
      </c>
      <c r="K31" s="805"/>
      <c r="L31" s="805"/>
      <c r="M31" s="805"/>
      <c r="N31" s="805">
        <v>5037.2927339999997</v>
      </c>
      <c r="O31" s="576">
        <v>44.305844000000434</v>
      </c>
      <c r="P31" s="576">
        <v>10.84</v>
      </c>
      <c r="Q31" s="805">
        <v>33.465843999999997</v>
      </c>
    </row>
    <row r="32" spans="1:17">
      <c r="A32" s="197">
        <v>20</v>
      </c>
      <c r="B32" s="202" t="s">
        <v>1518</v>
      </c>
      <c r="C32" s="805"/>
      <c r="D32" s="807">
        <v>189.49842200000001</v>
      </c>
      <c r="E32" s="576">
        <v>1176</v>
      </c>
      <c r="F32" s="576"/>
      <c r="G32" s="576"/>
      <c r="H32" s="576"/>
      <c r="I32" s="576"/>
      <c r="J32" s="576"/>
      <c r="K32" s="576"/>
      <c r="L32" s="805">
        <v>986.50157799999999</v>
      </c>
      <c r="M32" s="805"/>
      <c r="N32" s="805">
        <v>189.49842200000001</v>
      </c>
      <c r="O32" s="576">
        <v>0</v>
      </c>
      <c r="P32" s="576"/>
      <c r="Q32" s="805"/>
    </row>
    <row r="33" spans="1:17">
      <c r="A33" s="197">
        <v>21</v>
      </c>
      <c r="B33" s="202" t="s">
        <v>1519</v>
      </c>
      <c r="C33" s="805"/>
      <c r="D33" s="807">
        <v>6124.9269999999997</v>
      </c>
      <c r="E33" s="576">
        <v>5680</v>
      </c>
      <c r="F33" s="576">
        <v>444.92700000000002</v>
      </c>
      <c r="G33" s="576"/>
      <c r="H33" s="576"/>
      <c r="I33" s="576"/>
      <c r="J33" s="576"/>
      <c r="K33" s="576"/>
      <c r="L33" s="805"/>
      <c r="M33" s="805"/>
      <c r="N33" s="805">
        <v>6076.0061999999998</v>
      </c>
      <c r="O33" s="576">
        <v>48.920799999999872</v>
      </c>
      <c r="P33" s="576"/>
      <c r="Q33" s="805">
        <v>48.9208</v>
      </c>
    </row>
    <row r="34" spans="1:17">
      <c r="A34" s="197">
        <v>22</v>
      </c>
      <c r="B34" s="202" t="s">
        <v>1520</v>
      </c>
      <c r="C34" s="805"/>
      <c r="D34" s="807">
        <v>4225</v>
      </c>
      <c r="E34" s="576">
        <v>3874</v>
      </c>
      <c r="F34" s="576">
        <v>202.23699999999999</v>
      </c>
      <c r="G34" s="576">
        <v>148.76300000000001</v>
      </c>
      <c r="H34" s="576"/>
      <c r="I34" s="576"/>
      <c r="J34" s="576"/>
      <c r="K34" s="576"/>
      <c r="L34" s="805"/>
      <c r="M34" s="805"/>
      <c r="N34" s="805">
        <v>4225</v>
      </c>
      <c r="O34" s="576">
        <v>0</v>
      </c>
      <c r="P34" s="576"/>
      <c r="Q34" s="805"/>
    </row>
    <row r="35" spans="1:17">
      <c r="A35" s="197">
        <v>23</v>
      </c>
      <c r="B35" s="202" t="s">
        <v>1521</v>
      </c>
      <c r="C35" s="805">
        <v>738.24430000000007</v>
      </c>
      <c r="D35" s="807">
        <v>9710.4679999999989</v>
      </c>
      <c r="E35" s="576">
        <v>6735</v>
      </c>
      <c r="F35" s="576">
        <v>957.43700000000013</v>
      </c>
      <c r="G35" s="576">
        <v>305.40499999999997</v>
      </c>
      <c r="H35" s="576">
        <v>1712.626</v>
      </c>
      <c r="I35" s="576"/>
      <c r="J35" s="576"/>
      <c r="K35" s="576"/>
      <c r="L35" s="805"/>
      <c r="M35" s="805"/>
      <c r="N35" s="805">
        <v>10397.444299999999</v>
      </c>
      <c r="O35" s="576">
        <v>51.268000000000029</v>
      </c>
      <c r="P35" s="576"/>
      <c r="Q35" s="805">
        <v>51.268000000000001</v>
      </c>
    </row>
    <row r="36" spans="1:17">
      <c r="A36" s="197">
        <v>24</v>
      </c>
      <c r="B36" s="202" t="s">
        <v>1527</v>
      </c>
      <c r="C36" s="805"/>
      <c r="D36" s="807">
        <v>13394.281999999999</v>
      </c>
      <c r="E36" s="576">
        <v>13301</v>
      </c>
      <c r="F36" s="576">
        <v>93.281999999999996</v>
      </c>
      <c r="G36" s="576"/>
      <c r="H36" s="576"/>
      <c r="I36" s="576"/>
      <c r="J36" s="576"/>
      <c r="K36" s="576"/>
      <c r="L36" s="805"/>
      <c r="M36" s="805"/>
      <c r="N36" s="805">
        <v>13384.732</v>
      </c>
      <c r="O36" s="576">
        <v>9.5499999999992724</v>
      </c>
      <c r="P36" s="576"/>
      <c r="Q36" s="805">
        <v>9.5500000000000007</v>
      </c>
    </row>
    <row r="37" spans="1:17">
      <c r="A37" s="197">
        <v>25</v>
      </c>
      <c r="B37" s="202" t="s">
        <v>1534</v>
      </c>
      <c r="C37" s="805"/>
      <c r="D37" s="807">
        <v>2142.64</v>
      </c>
      <c r="E37" s="576">
        <v>2002</v>
      </c>
      <c r="F37" s="576">
        <v>118.64</v>
      </c>
      <c r="G37" s="576">
        <v>22</v>
      </c>
      <c r="H37" s="576"/>
      <c r="I37" s="576"/>
      <c r="J37" s="576"/>
      <c r="K37" s="576"/>
      <c r="L37" s="805"/>
      <c r="M37" s="805"/>
      <c r="N37" s="805">
        <v>2142.6400000000003</v>
      </c>
      <c r="O37" s="576">
        <v>0</v>
      </c>
      <c r="P37" s="576"/>
      <c r="Q37" s="805"/>
    </row>
    <row r="38" spans="1:17">
      <c r="A38" s="197">
        <v>26</v>
      </c>
      <c r="B38" s="202" t="s">
        <v>1522</v>
      </c>
      <c r="C38" s="805">
        <v>102.45699999999999</v>
      </c>
      <c r="D38" s="576">
        <v>15764.322000000002</v>
      </c>
      <c r="E38" s="576">
        <v>4529</v>
      </c>
      <c r="F38" s="576"/>
      <c r="G38" s="576">
        <v>6002.3470000000007</v>
      </c>
      <c r="H38" s="576">
        <v>5335.4320000000007</v>
      </c>
      <c r="I38" s="576"/>
      <c r="J38" s="576"/>
      <c r="K38" s="576"/>
      <c r="L38" s="805">
        <v>102.45699999999999</v>
      </c>
      <c r="M38" s="805"/>
      <c r="N38" s="200">
        <v>15170.233659</v>
      </c>
      <c r="O38" s="576">
        <v>696.54534100000274</v>
      </c>
      <c r="P38" s="576">
        <v>219.203</v>
      </c>
      <c r="Q38" s="805">
        <v>477.34234099999998</v>
      </c>
    </row>
    <row r="39" spans="1:17">
      <c r="A39" s="197">
        <v>27</v>
      </c>
      <c r="B39" s="202" t="s">
        <v>1523</v>
      </c>
      <c r="C39" s="805"/>
      <c r="D39" s="807">
        <v>7740.3279999999995</v>
      </c>
      <c r="E39" s="576">
        <v>7298</v>
      </c>
      <c r="F39" s="576">
        <v>442.32799999999997</v>
      </c>
      <c r="G39" s="576"/>
      <c r="H39" s="576"/>
      <c r="I39" s="576"/>
      <c r="J39" s="576"/>
      <c r="K39" s="576"/>
      <c r="L39" s="805"/>
      <c r="M39" s="805"/>
      <c r="N39" s="805">
        <v>7740.3279999999995</v>
      </c>
      <c r="O39" s="576">
        <v>0</v>
      </c>
      <c r="P39" s="576"/>
      <c r="Q39" s="805"/>
    </row>
    <row r="40" spans="1:17">
      <c r="A40" s="197">
        <v>28</v>
      </c>
      <c r="B40" s="202" t="s">
        <v>1532</v>
      </c>
      <c r="C40" s="805"/>
      <c r="D40" s="807">
        <v>6430.1260000000002</v>
      </c>
      <c r="E40" s="576">
        <v>5576</v>
      </c>
      <c r="F40" s="576">
        <v>354.62599999999998</v>
      </c>
      <c r="G40" s="576"/>
      <c r="H40" s="576">
        <v>499.5</v>
      </c>
      <c r="I40" s="576"/>
      <c r="J40" s="576"/>
      <c r="K40" s="576"/>
      <c r="L40" s="805"/>
      <c r="M40" s="805"/>
      <c r="N40" s="805">
        <v>6310.5700000000006</v>
      </c>
      <c r="O40" s="576">
        <v>119.55599999999959</v>
      </c>
      <c r="P40" s="576">
        <v>119.556</v>
      </c>
      <c r="Q40" s="805"/>
    </row>
    <row r="41" spans="1:17">
      <c r="A41" s="197">
        <v>29</v>
      </c>
      <c r="B41" s="202" t="s">
        <v>1530</v>
      </c>
      <c r="C41" s="805"/>
      <c r="D41" s="807">
        <v>7425.8710000000001</v>
      </c>
      <c r="E41" s="576">
        <v>6769</v>
      </c>
      <c r="F41" s="576">
        <v>399.87099999999998</v>
      </c>
      <c r="G41" s="576">
        <v>156</v>
      </c>
      <c r="H41" s="576"/>
      <c r="I41" s="576">
        <v>101</v>
      </c>
      <c r="J41" s="576"/>
      <c r="K41" s="576"/>
      <c r="L41" s="805"/>
      <c r="M41" s="805"/>
      <c r="N41" s="805">
        <v>7425.8710000000001</v>
      </c>
      <c r="O41" s="576">
        <v>0</v>
      </c>
      <c r="P41" s="576"/>
      <c r="Q41" s="805"/>
    </row>
    <row r="42" spans="1:17">
      <c r="A42" s="197">
        <v>30</v>
      </c>
      <c r="B42" s="202" t="s">
        <v>1528</v>
      </c>
      <c r="C42" s="805"/>
      <c r="D42" s="576">
        <v>4345.415</v>
      </c>
      <c r="E42" s="576">
        <v>4040</v>
      </c>
      <c r="F42" s="576">
        <v>305.41500000000002</v>
      </c>
      <c r="G42" s="576"/>
      <c r="H42" s="576"/>
      <c r="I42" s="576"/>
      <c r="J42" s="576"/>
      <c r="K42" s="576"/>
      <c r="L42" s="805"/>
      <c r="M42" s="805"/>
      <c r="N42" s="805">
        <v>4263.9771220000002</v>
      </c>
      <c r="O42" s="576">
        <v>81.437877999999728</v>
      </c>
      <c r="P42" s="576"/>
      <c r="Q42" s="805">
        <v>81.437877999999998</v>
      </c>
    </row>
    <row r="43" spans="1:17">
      <c r="A43" s="197">
        <v>31</v>
      </c>
      <c r="B43" s="202" t="s">
        <v>1242</v>
      </c>
      <c r="C43" s="805"/>
      <c r="D43" s="807">
        <v>2495.3900000000003</v>
      </c>
      <c r="E43" s="576">
        <v>2433</v>
      </c>
      <c r="F43" s="576">
        <v>288.84899999999999</v>
      </c>
      <c r="G43" s="576"/>
      <c r="H43" s="576"/>
      <c r="I43" s="576"/>
      <c r="J43" s="576"/>
      <c r="K43" s="576"/>
      <c r="L43" s="805">
        <v>226.459</v>
      </c>
      <c r="M43" s="805"/>
      <c r="N43" s="805">
        <v>2494.4526980000001</v>
      </c>
      <c r="O43" s="576">
        <v>0.93730200000027253</v>
      </c>
      <c r="P43" s="576">
        <v>0.93730199999999997</v>
      </c>
      <c r="Q43" s="805"/>
    </row>
    <row r="44" spans="1:17">
      <c r="A44" s="197">
        <v>32</v>
      </c>
      <c r="B44" s="202" t="s">
        <v>1757</v>
      </c>
      <c r="C44" s="805"/>
      <c r="D44" s="807">
        <v>275.61700000000002</v>
      </c>
      <c r="E44" s="576"/>
      <c r="F44" s="576">
        <v>226.459</v>
      </c>
      <c r="G44" s="576">
        <v>49.158000000000001</v>
      </c>
      <c r="H44" s="576"/>
      <c r="I44" s="576"/>
      <c r="J44" s="576"/>
      <c r="K44" s="576"/>
      <c r="L44" s="805"/>
      <c r="M44" s="805"/>
      <c r="N44" s="805">
        <v>275.61700000000002</v>
      </c>
      <c r="O44" s="576">
        <v>0</v>
      </c>
      <c r="P44" s="576"/>
      <c r="Q44" s="805"/>
    </row>
    <row r="45" spans="1:17" ht="30.75" customHeight="1">
      <c r="A45" s="197">
        <v>33</v>
      </c>
      <c r="B45" s="202" t="s">
        <v>1920</v>
      </c>
      <c r="C45" s="805">
        <v>17.731005</v>
      </c>
      <c r="D45" s="807">
        <v>2384.6440000000002</v>
      </c>
      <c r="E45" s="576">
        <v>2174</v>
      </c>
      <c r="F45" s="576">
        <v>210.64400000000001</v>
      </c>
      <c r="G45" s="576"/>
      <c r="H45" s="576"/>
      <c r="I45" s="576"/>
      <c r="J45" s="576"/>
      <c r="K45" s="576"/>
      <c r="L45" s="805"/>
      <c r="M45" s="805"/>
      <c r="N45" s="805">
        <v>2376.1395829999997</v>
      </c>
      <c r="O45" s="576">
        <v>26.235422000000653</v>
      </c>
      <c r="P45" s="576">
        <v>20.625266</v>
      </c>
      <c r="Q45" s="805">
        <v>5.6101559999999999</v>
      </c>
    </row>
    <row r="46" spans="1:17">
      <c r="A46" s="197">
        <v>34</v>
      </c>
      <c r="B46" s="202" t="s">
        <v>1903</v>
      </c>
      <c r="C46" s="805">
        <v>147.66494</v>
      </c>
      <c r="D46" s="807">
        <v>1673</v>
      </c>
      <c r="E46" s="576">
        <v>1673</v>
      </c>
      <c r="F46" s="576"/>
      <c r="G46" s="576"/>
      <c r="H46" s="576"/>
      <c r="I46" s="576"/>
      <c r="J46" s="576"/>
      <c r="K46" s="576"/>
      <c r="L46" s="805"/>
      <c r="M46" s="805"/>
      <c r="N46" s="805">
        <v>1815.069184</v>
      </c>
      <c r="O46" s="576">
        <v>5.5957560000001649</v>
      </c>
      <c r="P46" s="576"/>
      <c r="Q46" s="805">
        <v>5.5957559999999997</v>
      </c>
    </row>
    <row r="47" spans="1:17">
      <c r="A47" s="197">
        <v>35</v>
      </c>
      <c r="B47" s="202" t="s">
        <v>1921</v>
      </c>
      <c r="C47" s="805">
        <v>105.313</v>
      </c>
      <c r="D47" s="807">
        <v>2042.328</v>
      </c>
      <c r="E47" s="576">
        <v>1847</v>
      </c>
      <c r="F47" s="576"/>
      <c r="G47" s="576">
        <v>195.328</v>
      </c>
      <c r="H47" s="576"/>
      <c r="I47" s="576"/>
      <c r="J47" s="576"/>
      <c r="K47" s="576"/>
      <c r="L47" s="805"/>
      <c r="M47" s="805"/>
      <c r="N47" s="805">
        <v>2147.6410000000001</v>
      </c>
      <c r="O47" s="576">
        <v>0</v>
      </c>
      <c r="P47" s="576"/>
      <c r="Q47" s="805"/>
    </row>
    <row r="48" spans="1:17">
      <c r="A48" s="197">
        <v>36</v>
      </c>
      <c r="B48" s="202" t="s">
        <v>1862</v>
      </c>
      <c r="C48" s="805"/>
      <c r="D48" s="807">
        <v>1950.1980000000001</v>
      </c>
      <c r="E48" s="576">
        <v>1806</v>
      </c>
      <c r="F48" s="576">
        <v>144.19800000000001</v>
      </c>
      <c r="G48" s="576"/>
      <c r="H48" s="576"/>
      <c r="I48" s="576"/>
      <c r="J48" s="576"/>
      <c r="K48" s="576"/>
      <c r="L48" s="805"/>
      <c r="M48" s="805"/>
      <c r="N48" s="805">
        <v>1950.1980000000001</v>
      </c>
      <c r="O48" s="576">
        <v>0</v>
      </c>
      <c r="P48" s="576"/>
      <c r="Q48" s="805"/>
    </row>
    <row r="49" spans="1:17" ht="31.5">
      <c r="A49" s="197">
        <v>37</v>
      </c>
      <c r="B49" s="202" t="s">
        <v>1716</v>
      </c>
      <c r="C49" s="805"/>
      <c r="D49" s="807">
        <v>3122.48</v>
      </c>
      <c r="E49" s="576">
        <v>2902</v>
      </c>
      <c r="F49" s="576">
        <v>109.77</v>
      </c>
      <c r="G49" s="576">
        <v>110.71</v>
      </c>
      <c r="H49" s="576"/>
      <c r="I49" s="576"/>
      <c r="J49" s="576"/>
      <c r="K49" s="576"/>
      <c r="L49" s="805"/>
      <c r="M49" s="805"/>
      <c r="N49" s="805">
        <v>3092.0463679999998</v>
      </c>
      <c r="O49" s="576">
        <v>30.433632000000216</v>
      </c>
      <c r="P49" s="576">
        <v>9.027177</v>
      </c>
      <c r="Q49" s="805">
        <v>21.406455000000001</v>
      </c>
    </row>
    <row r="50" spans="1:17">
      <c r="A50" s="197">
        <v>38</v>
      </c>
      <c r="B50" s="202" t="s">
        <v>1536</v>
      </c>
      <c r="C50" s="805">
        <v>150</v>
      </c>
      <c r="D50" s="805">
        <v>31210.088999999996</v>
      </c>
      <c r="E50" s="805">
        <v>28188</v>
      </c>
      <c r="F50" s="805">
        <v>3456.5790000000002</v>
      </c>
      <c r="G50" s="805">
        <v>0</v>
      </c>
      <c r="H50" s="805">
        <v>0</v>
      </c>
      <c r="I50" s="805">
        <v>0</v>
      </c>
      <c r="J50" s="805">
        <v>232.79300000000001</v>
      </c>
      <c r="K50" s="805">
        <v>222.92000000000002</v>
      </c>
      <c r="L50" s="805">
        <v>444.363</v>
      </c>
      <c r="M50" s="805">
        <v>0</v>
      </c>
      <c r="N50" s="805">
        <v>31175.050757000001</v>
      </c>
      <c r="O50" s="805">
        <v>185.03824299999792</v>
      </c>
      <c r="P50" s="805">
        <v>137.43333799999999</v>
      </c>
      <c r="Q50" s="805">
        <v>47.604904999999285</v>
      </c>
    </row>
    <row r="51" spans="1:17" s="529" customFormat="1">
      <c r="A51" s="794"/>
      <c r="B51" s="756" t="s">
        <v>1537</v>
      </c>
      <c r="C51" s="579">
        <v>120</v>
      </c>
      <c r="D51" s="808">
        <v>9150.3079999999991</v>
      </c>
      <c r="E51" s="802">
        <v>8481.1039999999994</v>
      </c>
      <c r="F51" s="802">
        <v>993.2360000000001</v>
      </c>
      <c r="G51" s="579"/>
      <c r="H51" s="579"/>
      <c r="I51" s="579"/>
      <c r="J51" s="579">
        <v>100.256</v>
      </c>
      <c r="K51" s="579">
        <v>222.92000000000002</v>
      </c>
      <c r="L51" s="802">
        <v>201.36799999999999</v>
      </c>
      <c r="M51" s="802"/>
      <c r="N51" s="802">
        <v>9095.1531809999997</v>
      </c>
      <c r="O51" s="576">
        <v>175.15481899999941</v>
      </c>
      <c r="P51" s="576">
        <v>131.41233800000001</v>
      </c>
      <c r="Q51" s="802">
        <v>43.742480999999998</v>
      </c>
    </row>
    <row r="52" spans="1:17" s="529" customFormat="1">
      <c r="A52" s="794"/>
      <c r="B52" s="756" t="s">
        <v>1538</v>
      </c>
      <c r="C52" s="579"/>
      <c r="D52" s="808">
        <v>4575.2689999999993</v>
      </c>
      <c r="E52" s="802">
        <v>4203.2449999999999</v>
      </c>
      <c r="F52" s="802">
        <v>521.94999999999993</v>
      </c>
      <c r="G52" s="579"/>
      <c r="H52" s="579"/>
      <c r="I52" s="579"/>
      <c r="J52" s="579"/>
      <c r="K52" s="579"/>
      <c r="L52" s="802">
        <v>149.92599999999999</v>
      </c>
      <c r="M52" s="802"/>
      <c r="N52" s="802">
        <v>4575.259</v>
      </c>
      <c r="O52" s="576">
        <v>9.999999999308784E-3</v>
      </c>
      <c r="P52" s="576"/>
      <c r="Q52" s="802">
        <v>9.999999999308784E-3</v>
      </c>
    </row>
    <row r="53" spans="1:17" s="529" customFormat="1">
      <c r="A53" s="794"/>
      <c r="B53" s="756" t="s">
        <v>1539</v>
      </c>
      <c r="C53" s="579"/>
      <c r="D53" s="808">
        <v>4267.87</v>
      </c>
      <c r="E53" s="802">
        <v>3501.4169999999999</v>
      </c>
      <c r="F53" s="802">
        <v>773.46199999999999</v>
      </c>
      <c r="G53" s="579"/>
      <c r="H53" s="579"/>
      <c r="I53" s="579"/>
      <c r="J53" s="579"/>
      <c r="K53" s="579"/>
      <c r="L53" s="802">
        <v>7.0090000000000003</v>
      </c>
      <c r="M53" s="802"/>
      <c r="N53" s="802">
        <v>4264.0281080000004</v>
      </c>
      <c r="O53" s="576">
        <v>3.8418919999994614</v>
      </c>
      <c r="P53" s="576"/>
      <c r="Q53" s="802">
        <v>3.8418920000000001</v>
      </c>
    </row>
    <row r="54" spans="1:17" s="529" customFormat="1">
      <c r="A54" s="794"/>
      <c r="B54" s="756" t="s">
        <v>1540</v>
      </c>
      <c r="C54" s="579"/>
      <c r="D54" s="808">
        <v>1848.0859999999998</v>
      </c>
      <c r="E54" s="802">
        <v>1696.5429999999999</v>
      </c>
      <c r="F54" s="802">
        <v>151.54300000000001</v>
      </c>
      <c r="G54" s="579"/>
      <c r="H54" s="579"/>
      <c r="I54" s="579"/>
      <c r="J54" s="579"/>
      <c r="K54" s="579"/>
      <c r="L54" s="802"/>
      <c r="M54" s="802"/>
      <c r="N54" s="802">
        <v>1848.086</v>
      </c>
      <c r="O54" s="576">
        <v>0</v>
      </c>
      <c r="P54" s="576"/>
      <c r="Q54" s="802"/>
    </row>
    <row r="55" spans="1:17" s="529" customFormat="1">
      <c r="A55" s="794"/>
      <c r="B55" s="756" t="s">
        <v>1541</v>
      </c>
      <c r="C55" s="579"/>
      <c r="D55" s="808">
        <v>1991.895</v>
      </c>
      <c r="E55" s="802">
        <v>1862.769</v>
      </c>
      <c r="F55" s="802">
        <v>165.77199999999999</v>
      </c>
      <c r="G55" s="579"/>
      <c r="H55" s="579"/>
      <c r="I55" s="579"/>
      <c r="J55" s="579"/>
      <c r="K55" s="579"/>
      <c r="L55" s="802">
        <v>36.646000000000001</v>
      </c>
      <c r="M55" s="802"/>
      <c r="N55" s="802">
        <v>1991.895</v>
      </c>
      <c r="O55" s="576">
        <v>0</v>
      </c>
      <c r="P55" s="576"/>
      <c r="Q55" s="802"/>
    </row>
    <row r="56" spans="1:17" s="529" customFormat="1">
      <c r="A56" s="794"/>
      <c r="B56" s="756" t="s">
        <v>1542</v>
      </c>
      <c r="C56" s="579">
        <v>30</v>
      </c>
      <c r="D56" s="808">
        <v>1548.3420000000001</v>
      </c>
      <c r="E56" s="802">
        <v>1446.3430000000001</v>
      </c>
      <c r="F56" s="802">
        <v>125.47199999999999</v>
      </c>
      <c r="G56" s="579"/>
      <c r="H56" s="579"/>
      <c r="I56" s="579"/>
      <c r="J56" s="579"/>
      <c r="K56" s="579"/>
      <c r="L56" s="802">
        <v>23.472999999999999</v>
      </c>
      <c r="M56" s="802"/>
      <c r="N56" s="802">
        <v>1578.3419999999999</v>
      </c>
      <c r="O56" s="576">
        <v>0</v>
      </c>
      <c r="P56" s="576"/>
      <c r="Q56" s="802"/>
    </row>
    <row r="57" spans="1:17" s="529" customFormat="1">
      <c r="A57" s="794"/>
      <c r="B57" s="756" t="s">
        <v>1543</v>
      </c>
      <c r="C57" s="579"/>
      <c r="D57" s="808">
        <v>1838.288</v>
      </c>
      <c r="E57" s="802">
        <v>1679.5609999999999</v>
      </c>
      <c r="F57" s="802">
        <v>156.495</v>
      </c>
      <c r="G57" s="579"/>
      <c r="H57" s="579"/>
      <c r="I57" s="579"/>
      <c r="J57" s="579">
        <v>2.2320000000000002</v>
      </c>
      <c r="K57" s="579"/>
      <c r="L57" s="802"/>
      <c r="M57" s="802"/>
      <c r="N57" s="802">
        <v>1832.2670000000001</v>
      </c>
      <c r="O57" s="576">
        <v>6.0209999999999582</v>
      </c>
      <c r="P57" s="576">
        <v>6.0209999999999999</v>
      </c>
      <c r="Q57" s="802"/>
    </row>
    <row r="58" spans="1:17" s="529" customFormat="1">
      <c r="A58" s="794"/>
      <c r="B58" s="756" t="s">
        <v>1544</v>
      </c>
      <c r="C58" s="579"/>
      <c r="D58" s="808">
        <v>2400.0509999999999</v>
      </c>
      <c r="E58" s="802">
        <v>2238.6239999999998</v>
      </c>
      <c r="F58" s="802">
        <v>185.50800000000001</v>
      </c>
      <c r="G58" s="579"/>
      <c r="H58" s="579"/>
      <c r="I58" s="579"/>
      <c r="J58" s="579">
        <v>1.86</v>
      </c>
      <c r="K58" s="579"/>
      <c r="L58" s="802">
        <v>25.940999999999999</v>
      </c>
      <c r="M58" s="802"/>
      <c r="N58" s="802">
        <v>2400.048468</v>
      </c>
      <c r="O58" s="576">
        <v>2.5319999999737774E-3</v>
      </c>
      <c r="P58" s="576"/>
      <c r="Q58" s="802">
        <v>2.5319999999737774E-3</v>
      </c>
    </row>
    <row r="59" spans="1:17" s="529" customFormat="1">
      <c r="A59" s="794"/>
      <c r="B59" s="756" t="s">
        <v>1545</v>
      </c>
      <c r="C59" s="579"/>
      <c r="D59" s="808">
        <v>3589.98</v>
      </c>
      <c r="E59" s="802">
        <v>3078.3939999999998</v>
      </c>
      <c r="F59" s="802">
        <v>383.14100000000002</v>
      </c>
      <c r="G59" s="579"/>
      <c r="H59" s="579"/>
      <c r="I59" s="579"/>
      <c r="J59" s="802">
        <v>128.44499999999999</v>
      </c>
      <c r="K59" s="579"/>
      <c r="L59" s="802"/>
      <c r="M59" s="802"/>
      <c r="N59" s="802">
        <v>3589.9720000000002</v>
      </c>
      <c r="O59" s="576">
        <v>7.9999999998108251E-3</v>
      </c>
      <c r="P59" s="576"/>
      <c r="Q59" s="802">
        <v>8.0000000000000002E-3</v>
      </c>
    </row>
    <row r="60" spans="1:17">
      <c r="A60" s="197">
        <v>39</v>
      </c>
      <c r="B60" s="202" t="s">
        <v>1525</v>
      </c>
      <c r="C60" s="576"/>
      <c r="D60" s="807">
        <v>0</v>
      </c>
      <c r="E60" s="805"/>
      <c r="F60" s="805"/>
      <c r="G60" s="576"/>
      <c r="H60" s="576"/>
      <c r="I60" s="576"/>
      <c r="J60" s="576"/>
      <c r="K60" s="576"/>
      <c r="L60" s="805"/>
      <c r="M60" s="805"/>
      <c r="N60" s="805"/>
      <c r="O60" s="576">
        <v>0</v>
      </c>
      <c r="P60" s="576"/>
      <c r="Q60" s="802"/>
    </row>
    <row r="61" spans="1:17" ht="31.5">
      <c r="A61" s="197">
        <v>40</v>
      </c>
      <c r="B61" s="202" t="s">
        <v>1922</v>
      </c>
      <c r="C61" s="576"/>
      <c r="D61" s="807">
        <v>0</v>
      </c>
      <c r="E61" s="805"/>
      <c r="F61" s="805"/>
      <c r="G61" s="576"/>
      <c r="H61" s="576"/>
      <c r="I61" s="576"/>
      <c r="J61" s="576"/>
      <c r="K61" s="576"/>
      <c r="L61" s="805"/>
      <c r="M61" s="805"/>
      <c r="N61" s="805"/>
      <c r="O61" s="576">
        <v>0</v>
      </c>
      <c r="P61" s="576"/>
      <c r="Q61" s="802"/>
    </row>
    <row r="62" spans="1:17">
      <c r="A62" s="197">
        <v>41</v>
      </c>
      <c r="B62" s="202" t="s">
        <v>1810</v>
      </c>
      <c r="C62" s="576"/>
      <c r="D62" s="807">
        <v>0</v>
      </c>
      <c r="E62" s="805"/>
      <c r="F62" s="805"/>
      <c r="G62" s="576"/>
      <c r="H62" s="576"/>
      <c r="I62" s="576"/>
      <c r="J62" s="576"/>
      <c r="K62" s="576"/>
      <c r="L62" s="805"/>
      <c r="M62" s="805"/>
      <c r="N62" s="805"/>
      <c r="O62" s="576">
        <v>0</v>
      </c>
      <c r="P62" s="576"/>
      <c r="Q62" s="802">
        <v>0</v>
      </c>
    </row>
    <row r="63" spans="1:17">
      <c r="A63" s="186" t="s">
        <v>19</v>
      </c>
      <c r="B63" s="535" t="s">
        <v>1550</v>
      </c>
      <c r="C63" s="786">
        <v>687.22699999999998</v>
      </c>
      <c r="D63" s="786">
        <v>125342.05700000002</v>
      </c>
      <c r="E63" s="786">
        <v>115150</v>
      </c>
      <c r="F63" s="786">
        <v>5033.4149999999991</v>
      </c>
      <c r="G63" s="786">
        <v>3485.4989999999998</v>
      </c>
      <c r="H63" s="786">
        <v>2389.143</v>
      </c>
      <c r="I63" s="786">
        <v>0</v>
      </c>
      <c r="J63" s="786">
        <v>0</v>
      </c>
      <c r="K63" s="786">
        <v>716</v>
      </c>
      <c r="L63" s="786">
        <v>0</v>
      </c>
      <c r="M63" s="786">
        <v>0</v>
      </c>
      <c r="N63" s="786">
        <v>122343.36470399999</v>
      </c>
      <c r="O63" s="786">
        <v>3685.9192959999982</v>
      </c>
      <c r="P63" s="786">
        <v>955.93499999999995</v>
      </c>
      <c r="Q63" s="786">
        <v>2729.9842960000001</v>
      </c>
    </row>
    <row r="64" spans="1:17">
      <c r="A64" s="197">
        <v>1</v>
      </c>
      <c r="B64" s="202" t="s">
        <v>1402</v>
      </c>
      <c r="C64" s="805"/>
      <c r="D64" s="807">
        <v>96146.353000000003</v>
      </c>
      <c r="E64" s="576">
        <v>92601</v>
      </c>
      <c r="F64" s="576">
        <v>3186.4180000000001</v>
      </c>
      <c r="G64" s="805">
        <v>1074.9349999999999</v>
      </c>
      <c r="H64" s="805"/>
      <c r="I64" s="805"/>
      <c r="J64" s="805"/>
      <c r="K64" s="805">
        <v>716</v>
      </c>
      <c r="L64" s="805"/>
      <c r="M64" s="805"/>
      <c r="N64" s="805">
        <v>93624.643221000006</v>
      </c>
      <c r="O64" s="576">
        <v>2521.7097789999971</v>
      </c>
      <c r="P64" s="805">
        <v>55.935000000000002</v>
      </c>
      <c r="Q64" s="805">
        <v>2465.7747789999999</v>
      </c>
    </row>
    <row r="65" spans="1:17" s="529" customFormat="1">
      <c r="A65" s="794"/>
      <c r="B65" s="778" t="s">
        <v>1729</v>
      </c>
      <c r="C65" s="802"/>
      <c r="D65" s="808">
        <v>0</v>
      </c>
      <c r="E65" s="579"/>
      <c r="F65" s="579"/>
      <c r="G65" s="805"/>
      <c r="H65" s="805"/>
      <c r="I65" s="805"/>
      <c r="J65" s="805"/>
      <c r="K65" s="805"/>
      <c r="L65" s="805"/>
      <c r="M65" s="805"/>
      <c r="N65" s="802"/>
      <c r="O65" s="576">
        <v>0</v>
      </c>
      <c r="P65" s="802"/>
      <c r="Q65" s="802"/>
    </row>
    <row r="66" spans="1:17" s="529" customFormat="1">
      <c r="A66" s="197">
        <v>2</v>
      </c>
      <c r="B66" s="202" t="s">
        <v>1730</v>
      </c>
      <c r="C66" s="802"/>
      <c r="D66" s="807">
        <v>773.79</v>
      </c>
      <c r="E66" s="576">
        <v>749</v>
      </c>
      <c r="F66" s="576">
        <v>24.79</v>
      </c>
      <c r="G66" s="805"/>
      <c r="H66" s="805"/>
      <c r="I66" s="805"/>
      <c r="J66" s="805"/>
      <c r="K66" s="805"/>
      <c r="L66" s="805"/>
      <c r="M66" s="805"/>
      <c r="N66" s="805">
        <v>729.02665300000001</v>
      </c>
      <c r="O66" s="576">
        <v>44.763346999999953</v>
      </c>
      <c r="P66" s="802"/>
      <c r="Q66" s="805">
        <v>44.763347000000003</v>
      </c>
    </row>
    <row r="67" spans="1:17">
      <c r="A67" s="197">
        <v>3</v>
      </c>
      <c r="B67" s="202" t="s">
        <v>1551</v>
      </c>
      <c r="C67" s="805"/>
      <c r="D67" s="807">
        <v>9424.93</v>
      </c>
      <c r="E67" s="576">
        <v>7414</v>
      </c>
      <c r="F67" s="576">
        <v>440.58000000000004</v>
      </c>
      <c r="G67" s="805">
        <v>670.35</v>
      </c>
      <c r="H67" s="805">
        <v>900</v>
      </c>
      <c r="I67" s="805"/>
      <c r="J67" s="805"/>
      <c r="K67" s="805"/>
      <c r="L67" s="805"/>
      <c r="M67" s="805"/>
      <c r="N67" s="805">
        <v>8504.89</v>
      </c>
      <c r="O67" s="576">
        <v>920.04000000000087</v>
      </c>
      <c r="P67" s="805">
        <v>900</v>
      </c>
      <c r="Q67" s="805">
        <v>20.04</v>
      </c>
    </row>
    <row r="68" spans="1:17">
      <c r="A68" s="197">
        <v>4</v>
      </c>
      <c r="B68" s="202" t="s">
        <v>1552</v>
      </c>
      <c r="C68" s="805"/>
      <c r="D68" s="807">
        <v>5472.786000000001</v>
      </c>
      <c r="E68" s="576">
        <v>4453</v>
      </c>
      <c r="F68" s="576">
        <v>391.27800000000002</v>
      </c>
      <c r="G68" s="805">
        <v>428.6</v>
      </c>
      <c r="H68" s="805">
        <v>199.90799999999999</v>
      </c>
      <c r="I68" s="805"/>
      <c r="J68" s="805"/>
      <c r="K68" s="805"/>
      <c r="L68" s="805"/>
      <c r="M68" s="805"/>
      <c r="N68" s="805">
        <v>5472.7860000000001</v>
      </c>
      <c r="O68" s="576">
        <v>0</v>
      </c>
      <c r="P68" s="805"/>
      <c r="Q68" s="805"/>
    </row>
    <row r="69" spans="1:17">
      <c r="A69" s="197">
        <v>5</v>
      </c>
      <c r="B69" s="202" t="s">
        <v>1553</v>
      </c>
      <c r="C69" s="805"/>
      <c r="D69" s="807">
        <v>5012.2349999999997</v>
      </c>
      <c r="E69" s="576">
        <v>3554</v>
      </c>
      <c r="F69" s="576">
        <v>377.15100000000001</v>
      </c>
      <c r="G69" s="805">
        <v>1081.0839999999998</v>
      </c>
      <c r="H69" s="805"/>
      <c r="I69" s="805"/>
      <c r="J69" s="805"/>
      <c r="K69" s="805"/>
      <c r="L69" s="805"/>
      <c r="M69" s="805"/>
      <c r="N69" s="805">
        <v>4819.683016</v>
      </c>
      <c r="O69" s="576">
        <v>192.55198399999972</v>
      </c>
      <c r="P69" s="805"/>
      <c r="Q69" s="805">
        <v>192.551984</v>
      </c>
    </row>
    <row r="70" spans="1:17">
      <c r="A70" s="197">
        <v>6</v>
      </c>
      <c r="B70" s="202" t="s">
        <v>1554</v>
      </c>
      <c r="C70" s="805">
        <v>687.22699999999998</v>
      </c>
      <c r="D70" s="807">
        <v>5847.6970000000001</v>
      </c>
      <c r="E70" s="576">
        <v>3999</v>
      </c>
      <c r="F70" s="576">
        <v>463.93200000000002</v>
      </c>
      <c r="G70" s="805">
        <v>95.53</v>
      </c>
      <c r="H70" s="805">
        <v>1289.2350000000001</v>
      </c>
      <c r="I70" s="805"/>
      <c r="J70" s="805"/>
      <c r="K70" s="805"/>
      <c r="L70" s="805"/>
      <c r="M70" s="805"/>
      <c r="N70" s="805">
        <v>6528.0698139999995</v>
      </c>
      <c r="O70" s="576">
        <v>6.8541860000004817</v>
      </c>
      <c r="P70" s="805"/>
      <c r="Q70" s="805">
        <v>6.8541860000000003</v>
      </c>
    </row>
    <row r="71" spans="1:17">
      <c r="A71" s="197">
        <v>7</v>
      </c>
      <c r="B71" s="202" t="s">
        <v>1555</v>
      </c>
      <c r="C71" s="805"/>
      <c r="D71" s="807">
        <v>2664.2660000000001</v>
      </c>
      <c r="E71" s="576">
        <v>2380</v>
      </c>
      <c r="F71" s="576">
        <v>149.26599999999999</v>
      </c>
      <c r="G71" s="576">
        <v>135</v>
      </c>
      <c r="H71" s="576"/>
      <c r="I71" s="576"/>
      <c r="J71" s="576"/>
      <c r="K71" s="576"/>
      <c r="L71" s="576"/>
      <c r="M71" s="576"/>
      <c r="N71" s="576">
        <v>2664.2660000000001</v>
      </c>
      <c r="O71" s="576">
        <v>0</v>
      </c>
      <c r="P71" s="805"/>
      <c r="Q71" s="805"/>
    </row>
    <row r="72" spans="1:17">
      <c r="A72" s="186" t="s">
        <v>23</v>
      </c>
      <c r="B72" s="535" t="s">
        <v>1558</v>
      </c>
      <c r="C72" s="786">
        <v>55.457999999999998</v>
      </c>
      <c r="D72" s="786">
        <v>17623.506000000001</v>
      </c>
      <c r="E72" s="786">
        <v>13952</v>
      </c>
      <c r="F72" s="786">
        <v>716.8359999999999</v>
      </c>
      <c r="G72" s="786">
        <v>2554.9049999999997</v>
      </c>
      <c r="H72" s="786">
        <v>671</v>
      </c>
      <c r="I72" s="786">
        <v>0</v>
      </c>
      <c r="J72" s="786">
        <v>0</v>
      </c>
      <c r="K72" s="786">
        <v>118.235</v>
      </c>
      <c r="L72" s="786">
        <v>0</v>
      </c>
      <c r="M72" s="786"/>
      <c r="N72" s="786">
        <v>17655.839972000002</v>
      </c>
      <c r="O72" s="786">
        <v>23.12402800000018</v>
      </c>
      <c r="P72" s="786">
        <v>5.2080000000000002</v>
      </c>
      <c r="Q72" s="786">
        <v>17.916028000000072</v>
      </c>
    </row>
    <row r="73" spans="1:17">
      <c r="A73" s="197">
        <v>1</v>
      </c>
      <c r="B73" s="202" t="s">
        <v>1475</v>
      </c>
      <c r="C73" s="805"/>
      <c r="D73" s="807">
        <v>1741.5160000000001</v>
      </c>
      <c r="E73" s="576">
        <v>943</v>
      </c>
      <c r="F73" s="576">
        <v>34.515999999999998</v>
      </c>
      <c r="G73" s="576">
        <v>738</v>
      </c>
      <c r="H73" s="576">
        <v>26</v>
      </c>
      <c r="I73" s="576"/>
      <c r="J73" s="576"/>
      <c r="K73" s="576"/>
      <c r="L73" s="576"/>
      <c r="M73" s="576"/>
      <c r="N73" s="576">
        <v>1725.387864</v>
      </c>
      <c r="O73" s="576">
        <v>16.12813600000004</v>
      </c>
      <c r="P73" s="805"/>
      <c r="Q73" s="805">
        <v>16.12813600000004</v>
      </c>
    </row>
    <row r="74" spans="1:17">
      <c r="A74" s="197">
        <v>2</v>
      </c>
      <c r="B74" s="202" t="s">
        <v>547</v>
      </c>
      <c r="C74" s="805"/>
      <c r="D74" s="807">
        <v>2574</v>
      </c>
      <c r="E74" s="576">
        <v>2426</v>
      </c>
      <c r="F74" s="576"/>
      <c r="G74" s="576">
        <v>148</v>
      </c>
      <c r="H74" s="576"/>
      <c r="I74" s="576"/>
      <c r="J74" s="576"/>
      <c r="K74" s="576"/>
      <c r="L74" s="576"/>
      <c r="M74" s="576"/>
      <c r="N74" s="576">
        <v>2574</v>
      </c>
      <c r="O74" s="576">
        <v>0</v>
      </c>
      <c r="P74" s="805"/>
      <c r="Q74" s="805"/>
    </row>
    <row r="75" spans="1:17">
      <c r="A75" s="197">
        <v>3</v>
      </c>
      <c r="B75" s="202" t="s">
        <v>1559</v>
      </c>
      <c r="C75" s="805"/>
      <c r="D75" s="807">
        <v>1743.64</v>
      </c>
      <c r="E75" s="576">
        <v>1508</v>
      </c>
      <c r="F75" s="576">
        <v>160</v>
      </c>
      <c r="G75" s="805">
        <v>75.64</v>
      </c>
      <c r="H75" s="805"/>
      <c r="I75" s="805"/>
      <c r="J75" s="805"/>
      <c r="K75" s="805"/>
      <c r="L75" s="805"/>
      <c r="M75" s="805"/>
      <c r="N75" s="805">
        <v>1743.64</v>
      </c>
      <c r="O75" s="576">
        <v>0</v>
      </c>
      <c r="P75" s="805"/>
      <c r="Q75" s="805"/>
    </row>
    <row r="76" spans="1:17" ht="15" customHeight="1">
      <c r="A76" s="197">
        <v>4</v>
      </c>
      <c r="B76" s="202" t="s">
        <v>1560</v>
      </c>
      <c r="C76" s="805"/>
      <c r="D76" s="807">
        <v>2357.1019999999999</v>
      </c>
      <c r="E76" s="576">
        <v>2210</v>
      </c>
      <c r="F76" s="576">
        <v>147.102</v>
      </c>
      <c r="G76" s="805"/>
      <c r="H76" s="805"/>
      <c r="I76" s="805"/>
      <c r="J76" s="805"/>
      <c r="K76" s="805"/>
      <c r="L76" s="805"/>
      <c r="M76" s="805"/>
      <c r="N76" s="805">
        <v>2356.4622899999999</v>
      </c>
      <c r="O76" s="576">
        <v>0.63970999999992273</v>
      </c>
      <c r="P76" s="805"/>
      <c r="Q76" s="809">
        <v>0.63971</v>
      </c>
    </row>
    <row r="77" spans="1:17">
      <c r="A77" s="197">
        <v>5</v>
      </c>
      <c r="B77" s="202" t="s">
        <v>1561</v>
      </c>
      <c r="C77" s="805"/>
      <c r="D77" s="807">
        <v>1120.279</v>
      </c>
      <c r="E77" s="576">
        <v>805</v>
      </c>
      <c r="F77" s="576">
        <v>27.259</v>
      </c>
      <c r="G77" s="805">
        <v>288.02</v>
      </c>
      <c r="H77" s="805"/>
      <c r="I77" s="805"/>
      <c r="J77" s="805"/>
      <c r="K77" s="805"/>
      <c r="L77" s="805"/>
      <c r="M77" s="805"/>
      <c r="N77" s="805">
        <v>1120.279</v>
      </c>
      <c r="O77" s="576">
        <v>0</v>
      </c>
      <c r="P77" s="805"/>
      <c r="Q77" s="805"/>
    </row>
    <row r="78" spans="1:17">
      <c r="A78" s="197">
        <v>6</v>
      </c>
      <c r="B78" s="202" t="s">
        <v>1562</v>
      </c>
      <c r="C78" s="805">
        <v>55.457999999999998</v>
      </c>
      <c r="D78" s="807">
        <v>1915.009</v>
      </c>
      <c r="E78" s="576">
        <v>1908</v>
      </c>
      <c r="F78" s="576">
        <v>125.244</v>
      </c>
      <c r="G78" s="805"/>
      <c r="H78" s="805"/>
      <c r="I78" s="805"/>
      <c r="J78" s="805"/>
      <c r="K78" s="805">
        <v>118.235</v>
      </c>
      <c r="L78" s="805"/>
      <c r="M78" s="805"/>
      <c r="N78" s="805">
        <v>1970.4658509999999</v>
      </c>
      <c r="O78" s="576">
        <v>1.1490000001685985E-3</v>
      </c>
      <c r="P78" s="805"/>
      <c r="Q78" s="805">
        <v>1.1490000000000001E-3</v>
      </c>
    </row>
    <row r="79" spans="1:17">
      <c r="A79" s="197">
        <v>7</v>
      </c>
      <c r="B79" s="202" t="s">
        <v>1564</v>
      </c>
      <c r="C79" s="805"/>
      <c r="D79" s="807">
        <v>1397.537</v>
      </c>
      <c r="E79" s="576">
        <v>1309</v>
      </c>
      <c r="F79" s="576">
        <v>58.536999999999999</v>
      </c>
      <c r="G79" s="805">
        <v>30</v>
      </c>
      <c r="H79" s="805"/>
      <c r="I79" s="805"/>
      <c r="J79" s="805"/>
      <c r="K79" s="805"/>
      <c r="L79" s="805"/>
      <c r="M79" s="805"/>
      <c r="N79" s="805">
        <v>1397.537</v>
      </c>
      <c r="O79" s="576">
        <v>0</v>
      </c>
      <c r="P79" s="805"/>
      <c r="Q79" s="805"/>
    </row>
    <row r="80" spans="1:17">
      <c r="A80" s="197">
        <v>8</v>
      </c>
      <c r="B80" s="202" t="s">
        <v>1563</v>
      </c>
      <c r="C80" s="805"/>
      <c r="D80" s="807">
        <v>765.85200000000009</v>
      </c>
      <c r="E80" s="576">
        <v>507</v>
      </c>
      <c r="F80" s="576">
        <v>40.652000000000001</v>
      </c>
      <c r="G80" s="805">
        <v>218.2</v>
      </c>
      <c r="H80" s="805"/>
      <c r="I80" s="805"/>
      <c r="J80" s="805"/>
      <c r="K80" s="805"/>
      <c r="L80" s="805"/>
      <c r="M80" s="805"/>
      <c r="N80" s="805">
        <v>765.84518000000003</v>
      </c>
      <c r="O80" s="576">
        <v>6.8200000000615546E-3</v>
      </c>
      <c r="P80" s="805"/>
      <c r="Q80" s="805">
        <v>6.8199999999999997E-3</v>
      </c>
    </row>
    <row r="81" spans="1:17">
      <c r="A81" s="197">
        <v>9</v>
      </c>
      <c r="B81" s="202" t="s">
        <v>1565</v>
      </c>
      <c r="C81" s="805"/>
      <c r="D81" s="807">
        <v>159.51</v>
      </c>
      <c r="E81" s="576">
        <v>153</v>
      </c>
      <c r="F81" s="576">
        <v>6.51</v>
      </c>
      <c r="G81" s="805"/>
      <c r="H81" s="805"/>
      <c r="I81" s="805"/>
      <c r="J81" s="805"/>
      <c r="K81" s="805"/>
      <c r="L81" s="805"/>
      <c r="M81" s="805"/>
      <c r="N81" s="805">
        <v>159.09</v>
      </c>
      <c r="O81" s="576">
        <v>0.41999999999998749</v>
      </c>
      <c r="P81" s="805"/>
      <c r="Q81" s="805">
        <v>0.42</v>
      </c>
    </row>
    <row r="82" spans="1:17">
      <c r="A82" s="197">
        <v>10</v>
      </c>
      <c r="B82" s="202" t="s">
        <v>1647</v>
      </c>
      <c r="C82" s="805"/>
      <c r="D82" s="807">
        <v>429.92599999999999</v>
      </c>
      <c r="E82" s="576">
        <v>378</v>
      </c>
      <c r="F82" s="576">
        <v>51.926000000000002</v>
      </c>
      <c r="G82" s="805"/>
      <c r="H82" s="805"/>
      <c r="I82" s="805"/>
      <c r="J82" s="805"/>
      <c r="K82" s="805"/>
      <c r="L82" s="805"/>
      <c r="M82" s="805"/>
      <c r="N82" s="805">
        <v>429.61076000000003</v>
      </c>
      <c r="O82" s="576">
        <v>0.31523999999996022</v>
      </c>
      <c r="P82" s="805"/>
      <c r="Q82" s="805">
        <v>0.31524000000000002</v>
      </c>
    </row>
    <row r="83" spans="1:17">
      <c r="A83" s="197">
        <v>11</v>
      </c>
      <c r="B83" s="202" t="s">
        <v>1567</v>
      </c>
      <c r="C83" s="805"/>
      <c r="D83" s="807">
        <v>1058.2180000000001</v>
      </c>
      <c r="E83" s="576">
        <v>272</v>
      </c>
      <c r="F83" s="576">
        <v>11.718</v>
      </c>
      <c r="G83" s="805">
        <v>129.5</v>
      </c>
      <c r="H83" s="805">
        <v>645</v>
      </c>
      <c r="I83" s="805"/>
      <c r="J83" s="805"/>
      <c r="K83" s="805"/>
      <c r="L83" s="805"/>
      <c r="M83" s="805"/>
      <c r="N83" s="805">
        <v>1058.2180000000001</v>
      </c>
      <c r="O83" s="576">
        <v>0</v>
      </c>
      <c r="P83" s="805"/>
      <c r="Q83" s="805"/>
    </row>
    <row r="84" spans="1:17">
      <c r="A84" s="197">
        <v>12</v>
      </c>
      <c r="B84" s="202" t="s">
        <v>1569</v>
      </c>
      <c r="C84" s="805"/>
      <c r="D84" s="807">
        <v>823.76300000000003</v>
      </c>
      <c r="E84" s="576">
        <v>203</v>
      </c>
      <c r="F84" s="576">
        <v>11.718</v>
      </c>
      <c r="G84" s="576">
        <v>609.04500000000007</v>
      </c>
      <c r="H84" s="576"/>
      <c r="I84" s="576"/>
      <c r="J84" s="576"/>
      <c r="K84" s="576"/>
      <c r="L84" s="576"/>
      <c r="M84" s="576"/>
      <c r="N84" s="576">
        <v>818.160391</v>
      </c>
      <c r="O84" s="576">
        <v>5.6026090000000295</v>
      </c>
      <c r="P84" s="576">
        <v>5.2080000000000002</v>
      </c>
      <c r="Q84" s="576">
        <v>0.3946090000000293</v>
      </c>
    </row>
    <row r="85" spans="1:17">
      <c r="A85" s="197">
        <v>13</v>
      </c>
      <c r="B85" s="202" t="s">
        <v>1576</v>
      </c>
      <c r="C85" s="805"/>
      <c r="D85" s="807">
        <v>332.61799999999999</v>
      </c>
      <c r="E85" s="576">
        <v>301</v>
      </c>
      <c r="F85" s="576">
        <v>11.718</v>
      </c>
      <c r="G85" s="805">
        <v>19.899999999999999</v>
      </c>
      <c r="H85" s="805"/>
      <c r="I85" s="805"/>
      <c r="J85" s="805"/>
      <c r="K85" s="805"/>
      <c r="L85" s="805"/>
      <c r="M85" s="805"/>
      <c r="N85" s="805">
        <v>332.61799999999999</v>
      </c>
      <c r="O85" s="576">
        <v>0</v>
      </c>
      <c r="P85" s="805"/>
      <c r="Q85" s="805"/>
    </row>
    <row r="86" spans="1:17">
      <c r="A86" s="197">
        <v>14</v>
      </c>
      <c r="B86" s="202" t="s">
        <v>1572</v>
      </c>
      <c r="C86" s="805"/>
      <c r="D86" s="807">
        <v>0</v>
      </c>
      <c r="E86" s="576">
        <v>153</v>
      </c>
      <c r="F86" s="576"/>
      <c r="G86" s="805"/>
      <c r="H86" s="805"/>
      <c r="I86" s="805"/>
      <c r="J86" s="805"/>
      <c r="K86" s="805"/>
      <c r="L86" s="805"/>
      <c r="M86" s="805">
        <v>153</v>
      </c>
      <c r="N86" s="805"/>
      <c r="O86" s="576">
        <v>0</v>
      </c>
      <c r="P86" s="805"/>
      <c r="Q86" s="805"/>
    </row>
    <row r="87" spans="1:17">
      <c r="A87" s="197">
        <v>15</v>
      </c>
      <c r="B87" s="202" t="s">
        <v>1574</v>
      </c>
      <c r="C87" s="805"/>
      <c r="D87" s="807">
        <v>214.71799999999999</v>
      </c>
      <c r="E87" s="576">
        <v>203</v>
      </c>
      <c r="F87" s="576">
        <v>11.718</v>
      </c>
      <c r="G87" s="805"/>
      <c r="H87" s="805"/>
      <c r="I87" s="805"/>
      <c r="J87" s="805"/>
      <c r="K87" s="805"/>
      <c r="L87" s="805"/>
      <c r="M87" s="805"/>
      <c r="N87" s="805">
        <v>214.71799999999999</v>
      </c>
      <c r="O87" s="576">
        <v>0</v>
      </c>
      <c r="P87" s="805"/>
      <c r="Q87" s="805"/>
    </row>
    <row r="88" spans="1:17">
      <c r="A88" s="197">
        <v>16</v>
      </c>
      <c r="B88" s="202" t="s">
        <v>1575</v>
      </c>
      <c r="C88" s="805"/>
      <c r="D88" s="807">
        <v>442.61799999999999</v>
      </c>
      <c r="E88" s="576">
        <v>203</v>
      </c>
      <c r="F88" s="576">
        <v>11.718</v>
      </c>
      <c r="G88" s="805">
        <v>227.9</v>
      </c>
      <c r="H88" s="805"/>
      <c r="I88" s="805"/>
      <c r="J88" s="805"/>
      <c r="K88" s="805"/>
      <c r="L88" s="805"/>
      <c r="M88" s="805"/>
      <c r="N88" s="805">
        <v>442.61799999999999</v>
      </c>
      <c r="O88" s="576">
        <v>0</v>
      </c>
      <c r="P88" s="805"/>
      <c r="Q88" s="805"/>
    </row>
    <row r="89" spans="1:17">
      <c r="A89" s="197">
        <v>17</v>
      </c>
      <c r="B89" s="202" t="s">
        <v>1923</v>
      </c>
      <c r="C89" s="805"/>
      <c r="D89" s="807">
        <v>230.2</v>
      </c>
      <c r="E89" s="576">
        <v>153</v>
      </c>
      <c r="F89" s="576">
        <v>6.5</v>
      </c>
      <c r="G89" s="805">
        <v>70.7</v>
      </c>
      <c r="H89" s="805"/>
      <c r="I89" s="805"/>
      <c r="J89" s="805"/>
      <c r="K89" s="805"/>
      <c r="L89" s="805"/>
      <c r="M89" s="805"/>
      <c r="N89" s="805">
        <v>230.2</v>
      </c>
      <c r="O89" s="576">
        <v>0</v>
      </c>
      <c r="P89" s="805"/>
      <c r="Q89" s="805"/>
    </row>
    <row r="90" spans="1:17">
      <c r="A90" s="197">
        <v>18</v>
      </c>
      <c r="B90" s="202" t="s">
        <v>1578</v>
      </c>
      <c r="C90" s="805"/>
      <c r="D90" s="807">
        <v>140</v>
      </c>
      <c r="E90" s="576">
        <v>140</v>
      </c>
      <c r="F90" s="576"/>
      <c r="G90" s="805"/>
      <c r="H90" s="805"/>
      <c r="I90" s="805"/>
      <c r="J90" s="805"/>
      <c r="K90" s="805"/>
      <c r="L90" s="805"/>
      <c r="M90" s="805"/>
      <c r="N90" s="805">
        <v>140</v>
      </c>
      <c r="O90" s="576">
        <v>0</v>
      </c>
      <c r="P90" s="805"/>
      <c r="Q90" s="805"/>
    </row>
    <row r="91" spans="1:17">
      <c r="A91" s="197">
        <v>19</v>
      </c>
      <c r="B91" s="202" t="s">
        <v>1769</v>
      </c>
      <c r="C91" s="805"/>
      <c r="D91" s="807">
        <v>177</v>
      </c>
      <c r="E91" s="576">
        <v>177</v>
      </c>
      <c r="F91" s="576"/>
      <c r="G91" s="805"/>
      <c r="H91" s="805"/>
      <c r="I91" s="805"/>
      <c r="J91" s="805"/>
      <c r="K91" s="805"/>
      <c r="L91" s="805"/>
      <c r="M91" s="805"/>
      <c r="N91" s="805">
        <v>176.98963599999999</v>
      </c>
      <c r="O91" s="576">
        <v>1.036400000000981E-2</v>
      </c>
      <c r="P91" s="805"/>
      <c r="Q91" s="805">
        <v>1.0364E-2</v>
      </c>
    </row>
    <row r="92" spans="1:17">
      <c r="A92" s="197">
        <v>20</v>
      </c>
      <c r="B92" s="202" t="s">
        <v>1666</v>
      </c>
      <c r="C92" s="805"/>
      <c r="D92" s="807">
        <v>0</v>
      </c>
      <c r="E92" s="576"/>
      <c r="F92" s="576"/>
      <c r="G92" s="805"/>
      <c r="H92" s="805"/>
      <c r="I92" s="805"/>
      <c r="J92" s="805"/>
      <c r="K92" s="805"/>
      <c r="L92" s="805"/>
      <c r="M92" s="805"/>
      <c r="N92" s="805"/>
      <c r="O92" s="576">
        <v>0</v>
      </c>
      <c r="P92" s="805"/>
      <c r="Q92" s="805"/>
    </row>
    <row r="93" spans="1:17">
      <c r="A93" s="186" t="s">
        <v>1648</v>
      </c>
      <c r="B93" s="535" t="s">
        <v>1649</v>
      </c>
      <c r="C93" s="806">
        <v>57572.536733999994</v>
      </c>
      <c r="D93" s="806">
        <v>1635616.5028639999</v>
      </c>
      <c r="E93" s="806">
        <v>1302651.92233</v>
      </c>
      <c r="F93" s="806">
        <v>365105.96091400011</v>
      </c>
      <c r="G93" s="806">
        <v>23777.788</v>
      </c>
      <c r="H93" s="806">
        <v>8583.9579999999987</v>
      </c>
      <c r="I93" s="806">
        <v>0</v>
      </c>
      <c r="J93" s="806">
        <v>3564</v>
      </c>
      <c r="K93" s="806">
        <v>44302.427273999994</v>
      </c>
      <c r="L93" s="806">
        <v>23151.253906000002</v>
      </c>
      <c r="M93" s="806">
        <v>37.523200000000003</v>
      </c>
      <c r="N93" s="806">
        <v>1618811.6201309999</v>
      </c>
      <c r="O93" s="806">
        <v>83581.941466999997</v>
      </c>
      <c r="P93" s="806">
        <v>67813.358737000002</v>
      </c>
      <c r="Q93" s="806">
        <v>15772.622729999994</v>
      </c>
    </row>
    <row r="94" spans="1:17" ht="31.5" hidden="1" customHeight="1">
      <c r="A94" s="766" t="s">
        <v>14</v>
      </c>
      <c r="B94" s="767" t="s">
        <v>1809</v>
      </c>
      <c r="C94" s="578"/>
      <c r="D94" s="786">
        <v>0</v>
      </c>
      <c r="E94" s="786"/>
      <c r="F94" s="786"/>
      <c r="G94" s="786"/>
      <c r="H94" s="786"/>
      <c r="I94" s="786"/>
      <c r="J94" s="786"/>
      <c r="K94" s="786"/>
      <c r="L94" s="786"/>
      <c r="M94" s="786"/>
      <c r="N94" s="786"/>
      <c r="O94" s="578">
        <v>0</v>
      </c>
      <c r="P94" s="805"/>
      <c r="Q94" s="805"/>
    </row>
    <row r="95" spans="1:17">
      <c r="A95" s="766" t="s">
        <v>19</v>
      </c>
      <c r="B95" s="767" t="s">
        <v>1650</v>
      </c>
      <c r="C95" s="578">
        <v>801.2</v>
      </c>
      <c r="D95" s="578">
        <v>60046.769375999997</v>
      </c>
      <c r="E95" s="578">
        <v>50178</v>
      </c>
      <c r="F95" s="578">
        <v>967.62037599999996</v>
      </c>
      <c r="G95" s="578">
        <v>5057.2169999999996</v>
      </c>
      <c r="H95" s="578">
        <v>4649.7879999999996</v>
      </c>
      <c r="I95" s="578">
        <v>0</v>
      </c>
      <c r="J95" s="578">
        <v>0</v>
      </c>
      <c r="K95" s="578">
        <v>466</v>
      </c>
      <c r="L95" s="578">
        <v>11</v>
      </c>
      <c r="M95" s="578">
        <v>0</v>
      </c>
      <c r="N95" s="578">
        <v>57764.450356000001</v>
      </c>
      <c r="O95" s="578">
        <v>3083.5190199999975</v>
      </c>
      <c r="P95" s="578">
        <v>1858.0931</v>
      </c>
      <c r="Q95" s="578">
        <v>1225.4259199999999</v>
      </c>
    </row>
    <row r="96" spans="1:17" ht="47.25" hidden="1" customHeight="1">
      <c r="A96" s="769">
        <v>1</v>
      </c>
      <c r="B96" s="770" t="s">
        <v>547</v>
      </c>
      <c r="C96" s="576"/>
      <c r="D96" s="807">
        <v>0</v>
      </c>
      <c r="E96" s="805"/>
      <c r="F96" s="805"/>
      <c r="G96" s="805"/>
      <c r="H96" s="805"/>
      <c r="I96" s="805"/>
      <c r="J96" s="805"/>
      <c r="K96" s="805"/>
      <c r="L96" s="805"/>
      <c r="M96" s="805"/>
      <c r="N96" s="805"/>
      <c r="O96" s="576">
        <v>0</v>
      </c>
      <c r="P96" s="805"/>
      <c r="Q96" s="805"/>
    </row>
    <row r="97" spans="1:17">
      <c r="A97" s="769">
        <v>1</v>
      </c>
      <c r="B97" s="770" t="s">
        <v>1476</v>
      </c>
      <c r="C97" s="807">
        <v>801.2</v>
      </c>
      <c r="D97" s="807">
        <v>60046.769375999997</v>
      </c>
      <c r="E97" s="807">
        <v>49849.144</v>
      </c>
      <c r="F97" s="807">
        <v>967.62037599999996</v>
      </c>
      <c r="G97" s="807">
        <v>5057.2169999999996</v>
      </c>
      <c r="H97" s="807">
        <v>4649.7879999999996</v>
      </c>
      <c r="I97" s="807">
        <v>0</v>
      </c>
      <c r="J97" s="807">
        <v>0</v>
      </c>
      <c r="K97" s="807">
        <v>466</v>
      </c>
      <c r="L97" s="807">
        <v>11</v>
      </c>
      <c r="M97" s="807">
        <v>0</v>
      </c>
      <c r="N97" s="807">
        <v>57764.450356000001</v>
      </c>
      <c r="O97" s="807">
        <v>3083.5190199999975</v>
      </c>
      <c r="P97" s="807">
        <v>1858.0931</v>
      </c>
      <c r="Q97" s="807">
        <v>1225.4259199999999</v>
      </c>
    </row>
    <row r="98" spans="1:17" s="529" customFormat="1">
      <c r="A98" s="771"/>
      <c r="B98" s="772" t="s">
        <v>1651</v>
      </c>
      <c r="C98" s="579">
        <v>500</v>
      </c>
      <c r="D98" s="808">
        <v>6961.5689999999995</v>
      </c>
      <c r="E98" s="802">
        <v>4128.8680000000004</v>
      </c>
      <c r="F98" s="802">
        <v>335.44</v>
      </c>
      <c r="G98" s="802">
        <v>732.26099999999997</v>
      </c>
      <c r="H98" s="810">
        <v>1776</v>
      </c>
      <c r="I98" s="810"/>
      <c r="J98" s="802"/>
      <c r="K98" s="802"/>
      <c r="L98" s="802">
        <v>11</v>
      </c>
      <c r="M98" s="802"/>
      <c r="N98" s="810">
        <v>7319.4058000000005</v>
      </c>
      <c r="O98" s="576">
        <v>142.16319999999905</v>
      </c>
      <c r="P98" s="802">
        <v>118.92</v>
      </c>
      <c r="Q98" s="802">
        <v>23.243200000000002</v>
      </c>
    </row>
    <row r="99" spans="1:17" s="529" customFormat="1">
      <c r="A99" s="771"/>
      <c r="B99" s="772" t="s">
        <v>1652</v>
      </c>
      <c r="C99" s="579"/>
      <c r="D99" s="808">
        <v>7017.78</v>
      </c>
      <c r="E99" s="802">
        <v>5445.7049999999999</v>
      </c>
      <c r="F99" s="802"/>
      <c r="G99" s="802">
        <v>1572.0749999999998</v>
      </c>
      <c r="H99" s="802"/>
      <c r="I99" s="802"/>
      <c r="J99" s="802"/>
      <c r="K99" s="802"/>
      <c r="L99" s="802"/>
      <c r="M99" s="802"/>
      <c r="N99" s="802">
        <v>6598.1839999999993</v>
      </c>
      <c r="O99" s="576">
        <v>419.59600000000046</v>
      </c>
      <c r="P99" s="802">
        <v>390.06610000000001</v>
      </c>
      <c r="Q99" s="802">
        <v>29.529900000000001</v>
      </c>
    </row>
    <row r="100" spans="1:17" s="529" customFormat="1">
      <c r="A100" s="771"/>
      <c r="B100" s="772" t="s">
        <v>1479</v>
      </c>
      <c r="C100" s="579"/>
      <c r="D100" s="808">
        <v>5430.009376</v>
      </c>
      <c r="E100" s="802">
        <v>2878.5709999999999</v>
      </c>
      <c r="F100" s="802">
        <v>196.54237599999999</v>
      </c>
      <c r="G100" s="802">
        <v>525</v>
      </c>
      <c r="H100" s="802">
        <v>1829.896</v>
      </c>
      <c r="I100" s="802"/>
      <c r="J100" s="802"/>
      <c r="K100" s="802"/>
      <c r="L100" s="802"/>
      <c r="M100" s="802"/>
      <c r="N100" s="802">
        <v>5408.7579459999997</v>
      </c>
      <c r="O100" s="576">
        <v>21.251430000000255</v>
      </c>
      <c r="P100" s="802"/>
      <c r="Q100" s="802">
        <v>21.251429999999999</v>
      </c>
    </row>
    <row r="101" spans="1:17" s="529" customFormat="1">
      <c r="A101" s="771"/>
      <c r="B101" s="772" t="s">
        <v>1653</v>
      </c>
      <c r="C101" s="579"/>
      <c r="D101" s="808">
        <v>7487.0739999999996</v>
      </c>
      <c r="E101" s="802">
        <v>5636</v>
      </c>
      <c r="F101" s="802">
        <v>424.63800000000003</v>
      </c>
      <c r="G101" s="802">
        <v>382.54399999999998</v>
      </c>
      <c r="H101" s="802">
        <v>1043.8920000000001</v>
      </c>
      <c r="I101" s="802"/>
      <c r="J101" s="802"/>
      <c r="K101" s="802"/>
      <c r="L101" s="802"/>
      <c r="M101" s="802"/>
      <c r="N101" s="802">
        <v>6264.2926100000004</v>
      </c>
      <c r="O101" s="576">
        <v>1222.7813899999992</v>
      </c>
      <c r="P101" s="802">
        <v>1043.8920000000001</v>
      </c>
      <c r="Q101" s="802">
        <v>178.88939000000002</v>
      </c>
    </row>
    <row r="102" spans="1:17" s="529" customFormat="1">
      <c r="A102" s="771"/>
      <c r="B102" s="772" t="s">
        <v>1654</v>
      </c>
      <c r="C102" s="579"/>
      <c r="D102" s="808">
        <v>0</v>
      </c>
      <c r="E102" s="802"/>
      <c r="F102" s="802"/>
      <c r="G102" s="802"/>
      <c r="H102" s="802"/>
      <c r="I102" s="802"/>
      <c r="J102" s="802"/>
      <c r="K102" s="802"/>
      <c r="L102" s="802"/>
      <c r="M102" s="802"/>
      <c r="N102" s="802"/>
      <c r="O102" s="579">
        <v>0</v>
      </c>
      <c r="P102" s="802"/>
      <c r="Q102" s="802"/>
    </row>
    <row r="103" spans="1:17" s="529" customFormat="1">
      <c r="A103" s="771"/>
      <c r="B103" s="772" t="s">
        <v>1655</v>
      </c>
      <c r="C103" s="579">
        <v>0</v>
      </c>
      <c r="D103" s="808">
        <v>3182.337</v>
      </c>
      <c r="E103" s="802">
        <v>1811</v>
      </c>
      <c r="F103" s="811">
        <v>11</v>
      </c>
      <c r="G103" s="802">
        <v>1360.337</v>
      </c>
      <c r="H103" s="802"/>
      <c r="I103" s="802"/>
      <c r="J103" s="802"/>
      <c r="K103" s="812"/>
      <c r="L103" s="802"/>
      <c r="M103" s="802"/>
      <c r="N103" s="802">
        <v>1906.9409999999998</v>
      </c>
      <c r="O103" s="576">
        <v>1275.3960000000002</v>
      </c>
      <c r="P103" s="802">
        <v>305.21499999999997</v>
      </c>
      <c r="Q103" s="802">
        <v>970.18100000000004</v>
      </c>
    </row>
    <row r="104" spans="1:17" s="529" customFormat="1">
      <c r="A104" s="771"/>
      <c r="B104" s="772" t="s">
        <v>2261</v>
      </c>
      <c r="C104" s="579">
        <v>301.2</v>
      </c>
      <c r="D104" s="808">
        <v>437</v>
      </c>
      <c r="E104" s="802">
        <v>437</v>
      </c>
      <c r="F104" s="811"/>
      <c r="G104" s="802"/>
      <c r="H104" s="802"/>
      <c r="I104" s="802"/>
      <c r="J104" s="802"/>
      <c r="K104" s="802"/>
      <c r="L104" s="802"/>
      <c r="M104" s="802"/>
      <c r="N104" s="802">
        <v>738.2</v>
      </c>
      <c r="O104" s="576">
        <v>0</v>
      </c>
      <c r="P104" s="802"/>
      <c r="Q104" s="802"/>
    </row>
    <row r="105" spans="1:17" s="529" customFormat="1">
      <c r="A105" s="771"/>
      <c r="B105" s="772" t="s">
        <v>2416</v>
      </c>
      <c r="C105" s="579"/>
      <c r="D105" s="808">
        <v>29531</v>
      </c>
      <c r="E105" s="802">
        <v>29512</v>
      </c>
      <c r="F105" s="812"/>
      <c r="G105" s="802">
        <v>485</v>
      </c>
      <c r="H105" s="802"/>
      <c r="I105" s="802"/>
      <c r="J105" s="802"/>
      <c r="K105" s="802">
        <v>466</v>
      </c>
      <c r="L105" s="802"/>
      <c r="M105" s="802"/>
      <c r="N105" s="802">
        <v>29528.669000000002</v>
      </c>
      <c r="O105" s="576">
        <v>2.330999999998312</v>
      </c>
      <c r="P105" s="802"/>
      <c r="Q105" s="802">
        <v>2.331</v>
      </c>
    </row>
    <row r="106" spans="1:17">
      <c r="A106" s="769">
        <v>2</v>
      </c>
      <c r="B106" s="770" t="s">
        <v>2417</v>
      </c>
      <c r="C106" s="807">
        <v>0</v>
      </c>
      <c r="D106" s="807">
        <v>0</v>
      </c>
      <c r="E106" s="807">
        <v>328.85599999999999</v>
      </c>
      <c r="F106" s="807">
        <v>0</v>
      </c>
      <c r="G106" s="807">
        <v>0</v>
      </c>
      <c r="H106" s="807">
        <v>0</v>
      </c>
      <c r="I106" s="807">
        <v>0</v>
      </c>
      <c r="J106" s="807">
        <v>0</v>
      </c>
      <c r="K106" s="807">
        <v>0</v>
      </c>
      <c r="L106" s="807">
        <v>0</v>
      </c>
      <c r="M106" s="807">
        <v>0</v>
      </c>
      <c r="N106" s="807">
        <v>0</v>
      </c>
      <c r="O106" s="807">
        <v>0</v>
      </c>
      <c r="P106" s="807">
        <v>0</v>
      </c>
      <c r="Q106" s="807"/>
    </row>
    <row r="107" spans="1:17">
      <c r="A107" s="769"/>
      <c r="B107" s="772" t="s">
        <v>1485</v>
      </c>
      <c r="C107" s="579"/>
      <c r="D107" s="807">
        <v>0</v>
      </c>
      <c r="E107" s="802"/>
      <c r="F107" s="802"/>
      <c r="G107" s="802"/>
      <c r="H107" s="802"/>
      <c r="I107" s="802"/>
      <c r="J107" s="802"/>
      <c r="K107" s="802"/>
      <c r="L107" s="802"/>
      <c r="M107" s="802"/>
      <c r="N107" s="802"/>
      <c r="O107" s="576">
        <v>0</v>
      </c>
      <c r="P107" s="805"/>
      <c r="Q107" s="576">
        <v>0</v>
      </c>
    </row>
    <row r="108" spans="1:17">
      <c r="A108" s="769"/>
      <c r="B108" s="772" t="s">
        <v>1559</v>
      </c>
      <c r="C108" s="579"/>
      <c r="D108" s="808">
        <v>0</v>
      </c>
      <c r="E108" s="802"/>
      <c r="F108" s="802"/>
      <c r="G108" s="802"/>
      <c r="H108" s="802"/>
      <c r="I108" s="802"/>
      <c r="J108" s="802"/>
      <c r="K108" s="802"/>
      <c r="L108" s="802"/>
      <c r="M108" s="802"/>
      <c r="N108" s="802"/>
      <c r="O108" s="579">
        <v>0</v>
      </c>
      <c r="P108" s="805"/>
      <c r="Q108" s="579">
        <v>0</v>
      </c>
    </row>
    <row r="109" spans="1:17">
      <c r="A109" s="766" t="s">
        <v>23</v>
      </c>
      <c r="B109" s="767" t="s">
        <v>1671</v>
      </c>
      <c r="C109" s="578">
        <v>3173.3216159999997</v>
      </c>
      <c r="D109" s="578">
        <v>25900.264000000003</v>
      </c>
      <c r="E109" s="578">
        <v>6046</v>
      </c>
      <c r="F109" s="578">
        <v>19382.046000000006</v>
      </c>
      <c r="G109" s="578">
        <v>854.29</v>
      </c>
      <c r="H109" s="578">
        <v>0</v>
      </c>
      <c r="I109" s="578">
        <v>0</v>
      </c>
      <c r="J109" s="578">
        <v>0</v>
      </c>
      <c r="K109" s="578">
        <v>382.072</v>
      </c>
      <c r="L109" s="578">
        <v>0</v>
      </c>
      <c r="M109" s="578">
        <v>0</v>
      </c>
      <c r="N109" s="578">
        <v>13141.154444999998</v>
      </c>
      <c r="O109" s="578">
        <v>15932.431170999998</v>
      </c>
      <c r="P109" s="578">
        <v>14414.16</v>
      </c>
      <c r="Q109" s="578">
        <v>1518.2711710000001</v>
      </c>
    </row>
    <row r="110" spans="1:17">
      <c r="A110" s="769">
        <v>1</v>
      </c>
      <c r="B110" s="202" t="s">
        <v>1348</v>
      </c>
      <c r="C110" s="805"/>
      <c r="D110" s="807">
        <v>567</v>
      </c>
      <c r="E110" s="805">
        <v>567</v>
      </c>
      <c r="F110" s="805"/>
      <c r="G110" s="805"/>
      <c r="H110" s="805"/>
      <c r="I110" s="805"/>
      <c r="J110" s="805"/>
      <c r="K110" s="805"/>
      <c r="L110" s="805"/>
      <c r="M110" s="805"/>
      <c r="N110" s="805">
        <v>567</v>
      </c>
      <c r="O110" s="576">
        <v>0</v>
      </c>
      <c r="P110" s="805"/>
      <c r="Q110" s="805"/>
    </row>
    <row r="111" spans="1:17">
      <c r="A111" s="769">
        <v>2</v>
      </c>
      <c r="B111" s="202" t="s">
        <v>484</v>
      </c>
      <c r="C111" s="805"/>
      <c r="D111" s="807">
        <v>5019.01</v>
      </c>
      <c r="E111" s="805">
        <v>4319.01</v>
      </c>
      <c r="F111" s="805"/>
      <c r="G111" s="805">
        <v>700</v>
      </c>
      <c r="H111" s="805"/>
      <c r="I111" s="805"/>
      <c r="J111" s="805"/>
      <c r="K111" s="805"/>
      <c r="L111" s="805"/>
      <c r="M111" s="805"/>
      <c r="N111" s="805">
        <v>3665.9086400000001</v>
      </c>
      <c r="O111" s="576">
        <v>1353.1013600000001</v>
      </c>
      <c r="P111" s="805"/>
      <c r="Q111" s="805">
        <v>1353.1013600000001</v>
      </c>
    </row>
    <row r="112" spans="1:17">
      <c r="A112" s="769">
        <v>3</v>
      </c>
      <c r="B112" s="773" t="s">
        <v>1370</v>
      </c>
      <c r="C112" s="805"/>
      <c r="D112" s="807">
        <v>1429.2529999999999</v>
      </c>
      <c r="E112" s="805">
        <v>1159.99</v>
      </c>
      <c r="F112" s="805">
        <v>114.973</v>
      </c>
      <c r="G112" s="805">
        <v>154.29</v>
      </c>
      <c r="H112" s="805"/>
      <c r="I112" s="805"/>
      <c r="J112" s="805"/>
      <c r="K112" s="805"/>
      <c r="L112" s="805"/>
      <c r="M112" s="805"/>
      <c r="N112" s="805">
        <v>1400.4511889999999</v>
      </c>
      <c r="O112" s="576">
        <v>28.801811000000043</v>
      </c>
      <c r="P112" s="805"/>
      <c r="Q112" s="805">
        <v>28.801811000000001</v>
      </c>
    </row>
    <row r="113" spans="1:17" ht="31.5">
      <c r="A113" s="769">
        <v>4</v>
      </c>
      <c r="B113" s="202" t="s">
        <v>2418</v>
      </c>
      <c r="C113" s="805">
        <v>3173.3216159999997</v>
      </c>
      <c r="D113" s="805">
        <v>18885.001000000004</v>
      </c>
      <c r="E113" s="805">
        <v>0</v>
      </c>
      <c r="F113" s="805">
        <v>19267.073000000004</v>
      </c>
      <c r="G113" s="805">
        <v>0</v>
      </c>
      <c r="H113" s="805">
        <v>0</v>
      </c>
      <c r="I113" s="805">
        <v>0</v>
      </c>
      <c r="J113" s="805">
        <v>0</v>
      </c>
      <c r="K113" s="805">
        <v>382.072</v>
      </c>
      <c r="L113" s="805">
        <v>0</v>
      </c>
      <c r="M113" s="805">
        <v>0</v>
      </c>
      <c r="N113" s="805">
        <v>7507.7946159999992</v>
      </c>
      <c r="O113" s="805">
        <v>14550.527999999998</v>
      </c>
      <c r="P113" s="805">
        <v>14414.16</v>
      </c>
      <c r="Q113" s="805">
        <v>136.36799999999999</v>
      </c>
    </row>
    <row r="114" spans="1:17">
      <c r="A114" s="769"/>
      <c r="B114" s="202" t="s">
        <v>512</v>
      </c>
      <c r="C114" s="805">
        <v>233.68461599999955</v>
      </c>
      <c r="D114" s="807">
        <v>0</v>
      </c>
      <c r="E114" s="805"/>
      <c r="F114" s="805"/>
      <c r="G114" s="805"/>
      <c r="H114" s="805"/>
      <c r="I114" s="805"/>
      <c r="J114" s="805"/>
      <c r="K114" s="805"/>
      <c r="L114" s="805"/>
      <c r="M114" s="805"/>
      <c r="N114" s="805">
        <v>233.68461600000001</v>
      </c>
      <c r="O114" s="576">
        <v>-4.5474735088646412E-13</v>
      </c>
      <c r="P114" s="805"/>
      <c r="Q114" s="805"/>
    </row>
    <row r="115" spans="1:17">
      <c r="A115" s="769"/>
      <c r="B115" s="202" t="s">
        <v>484</v>
      </c>
      <c r="C115" s="805"/>
      <c r="D115" s="807">
        <v>7893.6</v>
      </c>
      <c r="E115" s="805"/>
      <c r="F115" s="805">
        <v>7893.6</v>
      </c>
      <c r="G115" s="805"/>
      <c r="H115" s="805"/>
      <c r="I115" s="805"/>
      <c r="J115" s="805"/>
      <c r="K115" s="805"/>
      <c r="L115" s="805"/>
      <c r="M115" s="805"/>
      <c r="N115" s="805">
        <v>1243.5999999999999</v>
      </c>
      <c r="O115" s="576">
        <v>6650</v>
      </c>
      <c r="P115" s="805">
        <v>6650</v>
      </c>
      <c r="Q115" s="805"/>
    </row>
    <row r="116" spans="1:17">
      <c r="A116" s="769"/>
      <c r="B116" s="773" t="s">
        <v>1370</v>
      </c>
      <c r="C116" s="805"/>
      <c r="D116" s="807">
        <v>0</v>
      </c>
      <c r="E116" s="805"/>
      <c r="F116" s="805">
        <v>382.072</v>
      </c>
      <c r="G116" s="805"/>
      <c r="H116" s="805"/>
      <c r="I116" s="805"/>
      <c r="J116" s="805"/>
      <c r="K116" s="805">
        <v>382.072</v>
      </c>
      <c r="L116" s="805"/>
      <c r="M116" s="805"/>
      <c r="N116" s="805">
        <v>0</v>
      </c>
      <c r="O116" s="576">
        <v>0</v>
      </c>
      <c r="P116" s="805"/>
      <c r="Q116" s="805"/>
    </row>
    <row r="117" spans="1:17">
      <c r="A117" s="769"/>
      <c r="B117" s="773" t="s">
        <v>451</v>
      </c>
      <c r="C117" s="805">
        <v>199</v>
      </c>
      <c r="D117" s="807">
        <v>756.149</v>
      </c>
      <c r="E117" s="805"/>
      <c r="F117" s="805">
        <v>756.149</v>
      </c>
      <c r="G117" s="805"/>
      <c r="H117" s="805"/>
      <c r="I117" s="805"/>
      <c r="J117" s="805"/>
      <c r="K117" s="805"/>
      <c r="L117" s="805"/>
      <c r="M117" s="805"/>
      <c r="N117" s="805">
        <v>916.80499999999995</v>
      </c>
      <c r="O117" s="576">
        <v>38.344000000000051</v>
      </c>
      <c r="P117" s="805"/>
      <c r="Q117" s="805">
        <v>38.344000000000001</v>
      </c>
    </row>
    <row r="118" spans="1:17">
      <c r="A118" s="769"/>
      <c r="B118" s="773" t="s">
        <v>545</v>
      </c>
      <c r="C118" s="805">
        <v>342.43700000000001</v>
      </c>
      <c r="D118" s="807">
        <v>0</v>
      </c>
      <c r="E118" s="805"/>
      <c r="F118" s="805"/>
      <c r="G118" s="805"/>
      <c r="H118" s="805"/>
      <c r="I118" s="805"/>
      <c r="J118" s="805"/>
      <c r="K118" s="805"/>
      <c r="L118" s="805"/>
      <c r="M118" s="805"/>
      <c r="N118" s="805">
        <v>340.75299999999999</v>
      </c>
      <c r="O118" s="576">
        <v>1.6840000000000259</v>
      </c>
      <c r="P118" s="805"/>
      <c r="Q118" s="805">
        <v>1.6839999999999999</v>
      </c>
    </row>
    <row r="119" spans="1:17">
      <c r="A119" s="769"/>
      <c r="B119" s="773" t="s">
        <v>2262</v>
      </c>
      <c r="C119" s="805">
        <v>673.2</v>
      </c>
      <c r="D119" s="807">
        <v>0</v>
      </c>
      <c r="E119" s="805"/>
      <c r="F119" s="805"/>
      <c r="G119" s="805"/>
      <c r="H119" s="805"/>
      <c r="I119" s="805"/>
      <c r="J119" s="805"/>
      <c r="K119" s="805"/>
      <c r="L119" s="805"/>
      <c r="M119" s="805"/>
      <c r="N119" s="805">
        <v>673.2</v>
      </c>
      <c r="O119" s="576">
        <v>0</v>
      </c>
      <c r="P119" s="805"/>
      <c r="Q119" s="805"/>
    </row>
    <row r="120" spans="1:17">
      <c r="A120" s="769"/>
      <c r="B120" s="773" t="s">
        <v>1559</v>
      </c>
      <c r="C120" s="805"/>
      <c r="D120" s="807">
        <v>0</v>
      </c>
      <c r="E120" s="805"/>
      <c r="F120" s="805"/>
      <c r="G120" s="805"/>
      <c r="H120" s="805"/>
      <c r="I120" s="805"/>
      <c r="J120" s="805"/>
      <c r="K120" s="805"/>
      <c r="L120" s="805"/>
      <c r="M120" s="805"/>
      <c r="N120" s="805"/>
      <c r="O120" s="576">
        <v>0</v>
      </c>
      <c r="P120" s="805"/>
      <c r="Q120" s="805"/>
    </row>
    <row r="121" spans="1:17">
      <c r="A121" s="769"/>
      <c r="B121" s="773" t="s">
        <v>1402</v>
      </c>
      <c r="C121" s="805"/>
      <c r="D121" s="807">
        <v>423</v>
      </c>
      <c r="E121" s="805"/>
      <c r="F121" s="805">
        <v>423</v>
      </c>
      <c r="G121" s="805"/>
      <c r="H121" s="805"/>
      <c r="I121" s="805"/>
      <c r="J121" s="805"/>
      <c r="K121" s="805"/>
      <c r="L121" s="805"/>
      <c r="M121" s="805"/>
      <c r="N121" s="805">
        <v>423</v>
      </c>
      <c r="O121" s="576">
        <v>0</v>
      </c>
      <c r="P121" s="805"/>
      <c r="Q121" s="805"/>
    </row>
    <row r="122" spans="1:17">
      <c r="A122" s="769"/>
      <c r="B122" s="773" t="s">
        <v>461</v>
      </c>
      <c r="C122" s="805"/>
      <c r="D122" s="807">
        <v>1987.9580000000001</v>
      </c>
      <c r="E122" s="805"/>
      <c r="F122" s="805">
        <v>1987.9580000000001</v>
      </c>
      <c r="G122" s="805"/>
      <c r="H122" s="805"/>
      <c r="I122" s="805"/>
      <c r="J122" s="805"/>
      <c r="K122" s="805"/>
      <c r="L122" s="805"/>
      <c r="M122" s="805"/>
      <c r="N122" s="805">
        <v>1987.9580000000001</v>
      </c>
      <c r="O122" s="576">
        <v>0</v>
      </c>
      <c r="P122" s="805"/>
      <c r="Q122" s="805"/>
    </row>
    <row r="123" spans="1:17">
      <c r="A123" s="769"/>
      <c r="B123" s="773" t="s">
        <v>1726</v>
      </c>
      <c r="C123" s="805"/>
      <c r="D123" s="807">
        <v>1000</v>
      </c>
      <c r="E123" s="805"/>
      <c r="F123" s="805">
        <v>1000</v>
      </c>
      <c r="G123" s="805"/>
      <c r="H123" s="805"/>
      <c r="I123" s="805"/>
      <c r="J123" s="805"/>
      <c r="K123" s="805"/>
      <c r="L123" s="805"/>
      <c r="M123" s="805"/>
      <c r="N123" s="805">
        <v>13.371</v>
      </c>
      <c r="O123" s="576">
        <v>986.62900000000002</v>
      </c>
      <c r="P123" s="805">
        <v>986.62900000000002</v>
      </c>
      <c r="Q123" s="805"/>
    </row>
    <row r="124" spans="1:17">
      <c r="A124" s="769"/>
      <c r="B124" s="773" t="s">
        <v>394</v>
      </c>
      <c r="C124" s="805"/>
      <c r="D124" s="807">
        <v>4753</v>
      </c>
      <c r="E124" s="805"/>
      <c r="F124" s="805">
        <v>4753</v>
      </c>
      <c r="G124" s="805"/>
      <c r="H124" s="805"/>
      <c r="I124" s="805"/>
      <c r="J124" s="805"/>
      <c r="K124" s="805"/>
      <c r="L124" s="805"/>
      <c r="M124" s="805"/>
      <c r="N124" s="805">
        <v>0</v>
      </c>
      <c r="O124" s="576">
        <v>4753</v>
      </c>
      <c r="P124" s="805">
        <v>4753</v>
      </c>
      <c r="Q124" s="805"/>
    </row>
    <row r="125" spans="1:17">
      <c r="A125" s="769"/>
      <c r="B125" s="773" t="s">
        <v>560</v>
      </c>
      <c r="C125" s="805">
        <v>1725</v>
      </c>
      <c r="D125" s="807">
        <v>2071.2939999999999</v>
      </c>
      <c r="E125" s="805"/>
      <c r="F125" s="805">
        <v>2071.2939999999999</v>
      </c>
      <c r="G125" s="805"/>
      <c r="H125" s="805"/>
      <c r="I125" s="805"/>
      <c r="J125" s="805"/>
      <c r="K125" s="805"/>
      <c r="L125" s="805"/>
      <c r="M125" s="805"/>
      <c r="N125" s="805">
        <v>1675.423</v>
      </c>
      <c r="O125" s="576">
        <v>2120.8710000000001</v>
      </c>
      <c r="P125" s="805">
        <v>2024.5309999999999</v>
      </c>
      <c r="Q125" s="805">
        <v>96.34</v>
      </c>
    </row>
    <row r="126" spans="1:17">
      <c r="A126" s="766" t="s">
        <v>24</v>
      </c>
      <c r="B126" s="767" t="s">
        <v>1656</v>
      </c>
      <c r="C126" s="578">
        <v>198.113</v>
      </c>
      <c r="D126" s="578">
        <v>4197.4390000000003</v>
      </c>
      <c r="E126" s="578">
        <v>3031.0000000000005</v>
      </c>
      <c r="F126" s="578">
        <v>214</v>
      </c>
      <c r="G126" s="578">
        <v>952.43900000000008</v>
      </c>
      <c r="H126" s="578">
        <v>0</v>
      </c>
      <c r="I126" s="578">
        <v>0</v>
      </c>
      <c r="J126" s="578">
        <v>0</v>
      </c>
      <c r="K126" s="578">
        <v>0</v>
      </c>
      <c r="L126" s="578">
        <v>0</v>
      </c>
      <c r="M126" s="578">
        <v>0</v>
      </c>
      <c r="N126" s="578">
        <v>3862.4309000000003</v>
      </c>
      <c r="O126" s="578">
        <v>533.12110000000007</v>
      </c>
      <c r="P126" s="578">
        <v>34.112000000000002</v>
      </c>
      <c r="Q126" s="578">
        <v>499.00909999999999</v>
      </c>
    </row>
    <row r="127" spans="1:17">
      <c r="A127" s="769"/>
      <c r="B127" s="770" t="s">
        <v>1491</v>
      </c>
      <c r="C127" s="576"/>
      <c r="D127" s="807">
        <v>1401.1289999999999</v>
      </c>
      <c r="E127" s="807">
        <v>600.68999999999994</v>
      </c>
      <c r="F127" s="807"/>
      <c r="G127" s="805">
        <v>800.43900000000008</v>
      </c>
      <c r="H127" s="805"/>
      <c r="I127" s="805"/>
      <c r="J127" s="805"/>
      <c r="K127" s="805"/>
      <c r="L127" s="805"/>
      <c r="M127" s="805"/>
      <c r="N127" s="805">
        <v>959.32680000000005</v>
      </c>
      <c r="O127" s="576">
        <v>441.80219999999986</v>
      </c>
      <c r="P127" s="805">
        <v>34.112000000000002</v>
      </c>
      <c r="Q127" s="805">
        <v>407.6902</v>
      </c>
    </row>
    <row r="128" spans="1:17">
      <c r="A128" s="769"/>
      <c r="B128" s="770" t="s">
        <v>1492</v>
      </c>
      <c r="C128" s="576">
        <v>198.113</v>
      </c>
      <c r="D128" s="807">
        <v>2796.3100000000004</v>
      </c>
      <c r="E128" s="807">
        <v>2430.3100000000004</v>
      </c>
      <c r="F128" s="807">
        <v>214</v>
      </c>
      <c r="G128" s="805">
        <v>152</v>
      </c>
      <c r="H128" s="805"/>
      <c r="I128" s="805"/>
      <c r="J128" s="805"/>
      <c r="K128" s="805"/>
      <c r="L128" s="805"/>
      <c r="M128" s="805"/>
      <c r="N128" s="805">
        <v>2903.1041</v>
      </c>
      <c r="O128" s="576">
        <v>91.318900000000212</v>
      </c>
      <c r="P128" s="805"/>
      <c r="Q128" s="805">
        <v>91.318899999999999</v>
      </c>
    </row>
    <row r="129" spans="1:17" s="507" customFormat="1">
      <c r="A129" s="766" t="s">
        <v>26</v>
      </c>
      <c r="B129" s="767" t="s">
        <v>1672</v>
      </c>
      <c r="C129" s="578"/>
      <c r="D129" s="806">
        <v>30464.152999999998</v>
      </c>
      <c r="E129" s="786">
        <v>26118</v>
      </c>
      <c r="F129" s="786">
        <v>368</v>
      </c>
      <c r="G129" s="786">
        <v>2378.1529999999998</v>
      </c>
      <c r="H129" s="786">
        <v>1600</v>
      </c>
      <c r="I129" s="786"/>
      <c r="J129" s="786"/>
      <c r="K129" s="786"/>
      <c r="L129" s="786"/>
      <c r="M129" s="786"/>
      <c r="N129" s="786">
        <v>28189.587336000001</v>
      </c>
      <c r="O129" s="578">
        <v>2274.5656639999979</v>
      </c>
      <c r="P129" s="786">
        <v>1600</v>
      </c>
      <c r="Q129" s="786">
        <v>674.56566399999997</v>
      </c>
    </row>
    <row r="130" spans="1:17">
      <c r="A130" s="766" t="s">
        <v>128</v>
      </c>
      <c r="B130" s="767" t="s">
        <v>1670</v>
      </c>
      <c r="C130" s="806">
        <v>16888.076631</v>
      </c>
      <c r="D130" s="806">
        <v>19820.920000000002</v>
      </c>
      <c r="E130" s="806">
        <v>19883</v>
      </c>
      <c r="F130" s="806">
        <v>0</v>
      </c>
      <c r="G130" s="806">
        <v>0</v>
      </c>
      <c r="H130" s="806">
        <v>0</v>
      </c>
      <c r="I130" s="806">
        <v>0</v>
      </c>
      <c r="J130" s="806">
        <v>0</v>
      </c>
      <c r="K130" s="806">
        <v>0</v>
      </c>
      <c r="L130" s="806">
        <v>62.08</v>
      </c>
      <c r="M130" s="806">
        <v>0</v>
      </c>
      <c r="N130" s="806">
        <v>19168.310800000003</v>
      </c>
      <c r="O130" s="806">
        <v>17540.685830999999</v>
      </c>
      <c r="P130" s="806">
        <v>17408.083831</v>
      </c>
      <c r="Q130" s="806">
        <v>132.602</v>
      </c>
    </row>
    <row r="131" spans="1:17">
      <c r="A131" s="769"/>
      <c r="B131" s="540" t="s">
        <v>1421</v>
      </c>
      <c r="C131" s="805"/>
      <c r="D131" s="807">
        <v>4255.0659999999998</v>
      </c>
      <c r="E131" s="805">
        <v>4255.0659999999998</v>
      </c>
      <c r="F131" s="805"/>
      <c r="G131" s="805"/>
      <c r="H131" s="805"/>
      <c r="I131" s="805"/>
      <c r="J131" s="805"/>
      <c r="K131" s="805"/>
      <c r="L131" s="805"/>
      <c r="M131" s="805"/>
      <c r="N131" s="805">
        <v>4255.0659999999998</v>
      </c>
      <c r="O131" s="576">
        <v>0</v>
      </c>
      <c r="P131" s="805"/>
      <c r="Q131" s="805"/>
    </row>
    <row r="132" spans="1:17">
      <c r="A132" s="769"/>
      <c r="B132" s="540" t="s">
        <v>1735</v>
      </c>
      <c r="C132" s="805">
        <v>5098.3614809999999</v>
      </c>
      <c r="D132" s="805">
        <v>2493.1</v>
      </c>
      <c r="E132" s="805">
        <v>2493.1</v>
      </c>
      <c r="F132" s="805"/>
      <c r="G132" s="805"/>
      <c r="H132" s="805"/>
      <c r="I132" s="805"/>
      <c r="J132" s="805"/>
      <c r="K132" s="805"/>
      <c r="L132" s="805"/>
      <c r="M132" s="805"/>
      <c r="N132" s="805">
        <v>1655.6452999999999</v>
      </c>
      <c r="O132" s="576">
        <v>5935.8161810000001</v>
      </c>
      <c r="P132" s="805">
        <v>5935.8161810000001</v>
      </c>
      <c r="Q132" s="805"/>
    </row>
    <row r="133" spans="1:17">
      <c r="A133" s="769"/>
      <c r="B133" s="540" t="s">
        <v>1423</v>
      </c>
      <c r="C133" s="576">
        <v>11789.71515</v>
      </c>
      <c r="D133" s="807">
        <v>4700</v>
      </c>
      <c r="E133" s="805">
        <v>4700</v>
      </c>
      <c r="F133" s="805"/>
      <c r="G133" s="805"/>
      <c r="H133" s="805"/>
      <c r="I133" s="805"/>
      <c r="J133" s="805"/>
      <c r="K133" s="805"/>
      <c r="L133" s="805"/>
      <c r="M133" s="805"/>
      <c r="N133" s="805">
        <v>5017.4475000000002</v>
      </c>
      <c r="O133" s="576">
        <v>11472.26765</v>
      </c>
      <c r="P133" s="805">
        <v>11472.26765</v>
      </c>
      <c r="Q133" s="805"/>
    </row>
    <row r="134" spans="1:17">
      <c r="A134" s="769"/>
      <c r="B134" s="540" t="s">
        <v>1736</v>
      </c>
      <c r="C134" s="805"/>
      <c r="D134" s="807">
        <v>0</v>
      </c>
      <c r="E134" s="805"/>
      <c r="F134" s="805"/>
      <c r="G134" s="805"/>
      <c r="H134" s="805"/>
      <c r="I134" s="805"/>
      <c r="J134" s="805"/>
      <c r="K134" s="805"/>
      <c r="L134" s="805"/>
      <c r="M134" s="805"/>
      <c r="N134" s="805"/>
      <c r="O134" s="576">
        <v>0</v>
      </c>
      <c r="P134" s="805"/>
      <c r="Q134" s="805"/>
    </row>
    <row r="135" spans="1:17">
      <c r="A135" s="769"/>
      <c r="B135" s="540" t="s">
        <v>1424</v>
      </c>
      <c r="C135" s="805"/>
      <c r="D135" s="807">
        <v>0</v>
      </c>
      <c r="E135" s="805"/>
      <c r="F135" s="805"/>
      <c r="G135" s="805"/>
      <c r="H135" s="805"/>
      <c r="I135" s="805"/>
      <c r="J135" s="805"/>
      <c r="K135" s="805"/>
      <c r="L135" s="805"/>
      <c r="M135" s="805"/>
      <c r="N135" s="805"/>
      <c r="O135" s="576">
        <v>0</v>
      </c>
      <c r="P135" s="805"/>
      <c r="Q135" s="805"/>
    </row>
    <row r="136" spans="1:17" ht="21.75" customHeight="1">
      <c r="A136" s="769"/>
      <c r="B136" s="540" t="s">
        <v>1425</v>
      </c>
      <c r="C136" s="805"/>
      <c r="D136" s="807">
        <v>1952.414</v>
      </c>
      <c r="E136" s="805">
        <v>1952.414</v>
      </c>
      <c r="F136" s="805"/>
      <c r="G136" s="805"/>
      <c r="H136" s="805"/>
      <c r="I136" s="805"/>
      <c r="J136" s="805"/>
      <c r="K136" s="805"/>
      <c r="L136" s="805"/>
      <c r="M136" s="805"/>
      <c r="N136" s="805">
        <v>1933.5119999999999</v>
      </c>
      <c r="O136" s="576">
        <v>18.902000000000044</v>
      </c>
      <c r="P136" s="805"/>
      <c r="Q136" s="805">
        <v>18.902000000000001</v>
      </c>
    </row>
    <row r="137" spans="1:17" ht="48" customHeight="1">
      <c r="A137" s="769"/>
      <c r="B137" s="198" t="s">
        <v>1704</v>
      </c>
      <c r="C137" s="576"/>
      <c r="D137" s="807">
        <v>6006.64</v>
      </c>
      <c r="E137" s="789">
        <v>6068.72</v>
      </c>
      <c r="F137" s="789"/>
      <c r="G137" s="805"/>
      <c r="H137" s="805"/>
      <c r="I137" s="805"/>
      <c r="J137" s="805"/>
      <c r="K137" s="805"/>
      <c r="L137" s="805">
        <v>62.08</v>
      </c>
      <c r="M137" s="805"/>
      <c r="N137" s="805">
        <v>6006.64</v>
      </c>
      <c r="O137" s="805">
        <v>0</v>
      </c>
      <c r="P137" s="805"/>
      <c r="Q137" s="805"/>
    </row>
    <row r="138" spans="1:17">
      <c r="A138" s="769"/>
      <c r="B138" s="198" t="s">
        <v>1428</v>
      </c>
      <c r="C138" s="576"/>
      <c r="D138" s="807">
        <v>300</v>
      </c>
      <c r="E138" s="789">
        <v>300</v>
      </c>
      <c r="F138" s="789"/>
      <c r="G138" s="805"/>
      <c r="H138" s="805"/>
      <c r="I138" s="805"/>
      <c r="J138" s="805"/>
      <c r="K138" s="805"/>
      <c r="L138" s="805"/>
      <c r="M138" s="805"/>
      <c r="N138" s="789">
        <v>300</v>
      </c>
      <c r="O138" s="576">
        <v>0</v>
      </c>
      <c r="P138" s="805"/>
      <c r="Q138" s="805"/>
    </row>
    <row r="139" spans="1:17">
      <c r="A139" s="769"/>
      <c r="B139" s="202" t="s">
        <v>1429</v>
      </c>
      <c r="C139" s="805"/>
      <c r="D139" s="807">
        <v>0</v>
      </c>
      <c r="E139" s="789"/>
      <c r="F139" s="789"/>
      <c r="G139" s="805"/>
      <c r="H139" s="805"/>
      <c r="I139" s="805"/>
      <c r="J139" s="805"/>
      <c r="K139" s="805"/>
      <c r="L139" s="805"/>
      <c r="M139" s="805"/>
      <c r="N139" s="789"/>
      <c r="O139" s="598">
        <v>0</v>
      </c>
      <c r="P139" s="805"/>
      <c r="Q139" s="805"/>
    </row>
    <row r="140" spans="1:17">
      <c r="A140" s="769"/>
      <c r="B140" s="202" t="s">
        <v>2419</v>
      </c>
      <c r="C140" s="805"/>
      <c r="D140" s="807">
        <v>113.7</v>
      </c>
      <c r="E140" s="789">
        <v>113.7</v>
      </c>
      <c r="F140" s="789"/>
      <c r="G140" s="805"/>
      <c r="H140" s="805"/>
      <c r="I140" s="805"/>
      <c r="J140" s="805"/>
      <c r="K140" s="805"/>
      <c r="L140" s="805"/>
      <c r="M140" s="805"/>
      <c r="N140" s="789"/>
      <c r="O140" s="598">
        <v>113.7</v>
      </c>
      <c r="P140" s="805"/>
      <c r="Q140" s="805">
        <v>113.7</v>
      </c>
    </row>
    <row r="141" spans="1:17">
      <c r="A141" s="766" t="s">
        <v>156</v>
      </c>
      <c r="B141" s="767" t="s">
        <v>204</v>
      </c>
      <c r="C141" s="806">
        <v>2569.9610000000002</v>
      </c>
      <c r="D141" s="806">
        <v>401637.34995099989</v>
      </c>
      <c r="E141" s="806">
        <v>415129.59100100002</v>
      </c>
      <c r="F141" s="806">
        <v>18729.881949999999</v>
      </c>
      <c r="G141" s="806">
        <v>0</v>
      </c>
      <c r="H141" s="806">
        <v>500</v>
      </c>
      <c r="I141" s="806">
        <v>0</v>
      </c>
      <c r="J141" s="806">
        <v>0</v>
      </c>
      <c r="K141" s="806">
        <v>32029.578999999998</v>
      </c>
      <c r="L141" s="806">
        <v>692.54399999999998</v>
      </c>
      <c r="M141" s="806">
        <v>0</v>
      </c>
      <c r="N141" s="806">
        <v>402215.24786399992</v>
      </c>
      <c r="O141" s="806">
        <v>1992.0630869999952</v>
      </c>
      <c r="P141" s="806">
        <v>728.81703499999912</v>
      </c>
      <c r="Q141" s="806">
        <v>1268.0260519999943</v>
      </c>
    </row>
    <row r="142" spans="1:17">
      <c r="A142" s="766" t="s">
        <v>1811</v>
      </c>
      <c r="B142" s="767" t="s">
        <v>1375</v>
      </c>
      <c r="C142" s="806">
        <v>2522.2730000000001</v>
      </c>
      <c r="D142" s="806">
        <v>351636.48575099988</v>
      </c>
      <c r="E142" s="806">
        <v>366559.71080100001</v>
      </c>
      <c r="F142" s="806">
        <v>17298.897949999999</v>
      </c>
      <c r="G142" s="806">
        <v>0</v>
      </c>
      <c r="H142" s="806">
        <v>500</v>
      </c>
      <c r="I142" s="806">
        <v>0</v>
      </c>
      <c r="J142" s="806">
        <v>0</v>
      </c>
      <c r="K142" s="806">
        <v>32029.578999999998</v>
      </c>
      <c r="L142" s="806">
        <v>692.54399999999998</v>
      </c>
      <c r="M142" s="806">
        <v>0</v>
      </c>
      <c r="N142" s="806">
        <v>352372.423664</v>
      </c>
      <c r="O142" s="806">
        <v>1786.3350869999949</v>
      </c>
      <c r="P142" s="806">
        <v>698.6210349999991</v>
      </c>
      <c r="Q142" s="806">
        <v>1087.7140519999939</v>
      </c>
    </row>
    <row r="143" spans="1:17" ht="16.5">
      <c r="A143" s="774">
        <v>1</v>
      </c>
      <c r="B143" s="826" t="s">
        <v>1278</v>
      </c>
      <c r="C143" s="576"/>
      <c r="D143" s="807">
        <v>24280.896000000001</v>
      </c>
      <c r="E143" s="807">
        <v>23499.49</v>
      </c>
      <c r="F143" s="807">
        <v>1201.056</v>
      </c>
      <c r="G143" s="807"/>
      <c r="H143" s="807"/>
      <c r="I143" s="807"/>
      <c r="J143" s="807"/>
      <c r="K143" s="807">
        <v>419.65</v>
      </c>
      <c r="L143" s="807"/>
      <c r="M143" s="807"/>
      <c r="N143" s="807">
        <v>24167.012500000001</v>
      </c>
      <c r="O143" s="576">
        <v>113.88349999999991</v>
      </c>
      <c r="P143" s="805"/>
      <c r="Q143" s="805">
        <v>113.88349999999991</v>
      </c>
    </row>
    <row r="144" spans="1:17" ht="16.5">
      <c r="A144" s="774">
        <v>2</v>
      </c>
      <c r="B144" s="826" t="s">
        <v>1273</v>
      </c>
      <c r="C144" s="576"/>
      <c r="D144" s="807">
        <v>7195.8644999999997</v>
      </c>
      <c r="E144" s="807">
        <v>6468.9210000000003</v>
      </c>
      <c r="F144" s="807">
        <v>753.54349999999999</v>
      </c>
      <c r="G144" s="807"/>
      <c r="H144" s="807"/>
      <c r="I144" s="807"/>
      <c r="J144" s="807"/>
      <c r="K144" s="807">
        <v>26.6</v>
      </c>
      <c r="L144" s="807"/>
      <c r="M144" s="807"/>
      <c r="N144" s="807">
        <v>7195.8644999999997</v>
      </c>
      <c r="O144" s="576">
        <v>0</v>
      </c>
      <c r="P144" s="805"/>
      <c r="Q144" s="805"/>
    </row>
    <row r="145" spans="1:17">
      <c r="A145" s="774">
        <v>3</v>
      </c>
      <c r="B145" s="827" t="s">
        <v>1381</v>
      </c>
      <c r="C145" s="576"/>
      <c r="D145" s="807">
        <v>10085.355</v>
      </c>
      <c r="E145" s="807">
        <v>9398.5550000000003</v>
      </c>
      <c r="F145" s="807">
        <v>686.8</v>
      </c>
      <c r="G145" s="807"/>
      <c r="H145" s="807"/>
      <c r="I145" s="807"/>
      <c r="J145" s="807"/>
      <c r="K145" s="807"/>
      <c r="L145" s="807"/>
      <c r="M145" s="807"/>
      <c r="N145" s="807">
        <v>10029.252500000001</v>
      </c>
      <c r="O145" s="576">
        <v>56.102499999999054</v>
      </c>
      <c r="P145" s="805"/>
      <c r="Q145" s="805">
        <v>56.102499999999054</v>
      </c>
    </row>
    <row r="146" spans="1:17">
      <c r="A146" s="774">
        <v>4</v>
      </c>
      <c r="B146" s="828" t="s">
        <v>2420</v>
      </c>
      <c r="C146" s="576"/>
      <c r="D146" s="807">
        <v>8175.9990000000007</v>
      </c>
      <c r="E146" s="807">
        <v>7627.1990000000005</v>
      </c>
      <c r="F146" s="807">
        <v>548.79999999999995</v>
      </c>
      <c r="G146" s="807"/>
      <c r="H146" s="807"/>
      <c r="I146" s="807"/>
      <c r="J146" s="807"/>
      <c r="K146" s="807"/>
      <c r="L146" s="807"/>
      <c r="M146" s="807"/>
      <c r="N146" s="807">
        <v>8175.9989999999998</v>
      </c>
      <c r="O146" s="576">
        <v>9.0949470177292824E-13</v>
      </c>
      <c r="P146" s="805"/>
      <c r="Q146" s="805"/>
    </row>
    <row r="147" spans="1:17" ht="16.5">
      <c r="A147" s="774">
        <v>5</v>
      </c>
      <c r="B147" s="826" t="s">
        <v>1657</v>
      </c>
      <c r="C147" s="576"/>
      <c r="D147" s="807">
        <v>8462.8853770000023</v>
      </c>
      <c r="E147" s="807">
        <v>8191.7813770000012</v>
      </c>
      <c r="F147" s="807">
        <v>471.1</v>
      </c>
      <c r="G147" s="807"/>
      <c r="H147" s="807"/>
      <c r="I147" s="807"/>
      <c r="J147" s="807"/>
      <c r="K147" s="807">
        <v>199.99600000000001</v>
      </c>
      <c r="L147" s="807"/>
      <c r="M147" s="807"/>
      <c r="N147" s="807">
        <v>8462.8853770000005</v>
      </c>
      <c r="O147" s="576">
        <v>1.8189894035458565E-12</v>
      </c>
      <c r="P147" s="805"/>
      <c r="Q147" s="805"/>
    </row>
    <row r="148" spans="1:17" ht="16.5">
      <c r="A148" s="774">
        <v>6</v>
      </c>
      <c r="B148" s="826" t="s">
        <v>1274</v>
      </c>
      <c r="C148" s="576"/>
      <c r="D148" s="807">
        <v>6753.4946209999998</v>
      </c>
      <c r="E148" s="807">
        <v>6633.5386209999997</v>
      </c>
      <c r="F148" s="807">
        <v>378.95600000000002</v>
      </c>
      <c r="G148" s="807"/>
      <c r="H148" s="807"/>
      <c r="I148" s="807"/>
      <c r="J148" s="807"/>
      <c r="K148" s="807">
        <v>259</v>
      </c>
      <c r="L148" s="807"/>
      <c r="M148" s="807"/>
      <c r="N148" s="807">
        <v>6753.2703439999996</v>
      </c>
      <c r="O148" s="576">
        <v>0.22427700000025652</v>
      </c>
      <c r="P148" s="805"/>
      <c r="Q148" s="805">
        <v>0.22427700000025652</v>
      </c>
    </row>
    <row r="149" spans="1:17" ht="16.5">
      <c r="A149" s="774">
        <v>7</v>
      </c>
      <c r="B149" s="826" t="s">
        <v>1700</v>
      </c>
      <c r="C149" s="576"/>
      <c r="D149" s="807">
        <v>10710.526511</v>
      </c>
      <c r="E149" s="807">
        <v>9945.4865109999992</v>
      </c>
      <c r="F149" s="807">
        <v>881.04</v>
      </c>
      <c r="G149" s="807"/>
      <c r="H149" s="807"/>
      <c r="I149" s="807"/>
      <c r="J149" s="807"/>
      <c r="K149" s="807">
        <v>116</v>
      </c>
      <c r="L149" s="807"/>
      <c r="M149" s="807"/>
      <c r="N149" s="807">
        <v>10556.184123000001</v>
      </c>
      <c r="O149" s="576">
        <v>154.34238799999912</v>
      </c>
      <c r="P149" s="805">
        <v>150.3706</v>
      </c>
      <c r="Q149" s="805">
        <v>3.9717880000000001</v>
      </c>
    </row>
    <row r="150" spans="1:17" ht="16.5">
      <c r="A150" s="774">
        <v>8</v>
      </c>
      <c r="B150" s="826" t="s">
        <v>1701</v>
      </c>
      <c r="C150" s="576"/>
      <c r="D150" s="807">
        <v>8604.3266949999997</v>
      </c>
      <c r="E150" s="807">
        <v>8612.2226950000004</v>
      </c>
      <c r="F150" s="807">
        <v>395.10399999999998</v>
      </c>
      <c r="G150" s="807"/>
      <c r="H150" s="807"/>
      <c r="I150" s="807"/>
      <c r="J150" s="807"/>
      <c r="K150" s="807">
        <v>403</v>
      </c>
      <c r="L150" s="807"/>
      <c r="M150" s="807"/>
      <c r="N150" s="807">
        <v>8604.3266949999997</v>
      </c>
      <c r="O150" s="576">
        <v>0</v>
      </c>
      <c r="P150" s="805"/>
      <c r="Q150" s="805"/>
    </row>
    <row r="151" spans="1:17" ht="16.5">
      <c r="A151" s="774">
        <v>9</v>
      </c>
      <c r="B151" s="826" t="s">
        <v>1812</v>
      </c>
      <c r="C151" s="576"/>
      <c r="D151" s="807">
        <v>12674.351588000001</v>
      </c>
      <c r="E151" s="807">
        <v>11893.207588000001</v>
      </c>
      <c r="F151" s="807">
        <v>874.14400000000001</v>
      </c>
      <c r="G151" s="807"/>
      <c r="H151" s="807"/>
      <c r="I151" s="807"/>
      <c r="J151" s="807"/>
      <c r="K151" s="807">
        <v>93</v>
      </c>
      <c r="L151" s="807"/>
      <c r="M151" s="807"/>
      <c r="N151" s="807">
        <v>12280.687142000001</v>
      </c>
      <c r="O151" s="576">
        <v>393.66444600000068</v>
      </c>
      <c r="P151" s="805">
        <v>9.5000000000000001E-2</v>
      </c>
      <c r="Q151" s="805">
        <v>393.56944600000065</v>
      </c>
    </row>
    <row r="152" spans="1:17" ht="16.5">
      <c r="A152" s="774">
        <v>10</v>
      </c>
      <c r="B152" s="826" t="s">
        <v>1813</v>
      </c>
      <c r="C152" s="576"/>
      <c r="D152" s="807">
        <v>2894.9820840000002</v>
      </c>
      <c r="E152" s="807">
        <v>3587.5260840000001</v>
      </c>
      <c r="F152" s="807"/>
      <c r="G152" s="807"/>
      <c r="H152" s="807"/>
      <c r="I152" s="807"/>
      <c r="J152" s="807"/>
      <c r="K152" s="807"/>
      <c r="L152" s="807">
        <v>692.54399999999998</v>
      </c>
      <c r="M152" s="807"/>
      <c r="N152" s="807">
        <v>2894.9820840000002</v>
      </c>
      <c r="O152" s="576">
        <v>0</v>
      </c>
      <c r="P152" s="805"/>
      <c r="Q152" s="805"/>
    </row>
    <row r="153" spans="1:17" ht="16.5">
      <c r="A153" s="774">
        <v>11</v>
      </c>
      <c r="B153" s="826" t="s">
        <v>1290</v>
      </c>
      <c r="C153" s="576"/>
      <c r="D153" s="807">
        <v>8011.2286970000005</v>
      </c>
      <c r="E153" s="807">
        <v>7818.4286970000003</v>
      </c>
      <c r="F153" s="807">
        <v>332.8</v>
      </c>
      <c r="G153" s="807"/>
      <c r="H153" s="807"/>
      <c r="I153" s="807"/>
      <c r="J153" s="807"/>
      <c r="K153" s="807">
        <v>140</v>
      </c>
      <c r="L153" s="807"/>
      <c r="M153" s="807"/>
      <c r="N153" s="807">
        <v>8011.2286969999996</v>
      </c>
      <c r="O153" s="576">
        <v>9.0949470177292824E-13</v>
      </c>
      <c r="P153" s="805"/>
      <c r="Q153" s="805"/>
    </row>
    <row r="154" spans="1:17" ht="16.5">
      <c r="A154" s="774">
        <v>12</v>
      </c>
      <c r="B154" s="826" t="s">
        <v>1275</v>
      </c>
      <c r="C154" s="576"/>
      <c r="D154" s="807">
        <v>10828.322435</v>
      </c>
      <c r="E154" s="807">
        <v>10836.622434999999</v>
      </c>
      <c r="F154" s="807">
        <v>443.7</v>
      </c>
      <c r="G154" s="807"/>
      <c r="H154" s="807"/>
      <c r="I154" s="807"/>
      <c r="J154" s="807"/>
      <c r="K154" s="807">
        <v>452</v>
      </c>
      <c r="L154" s="807"/>
      <c r="M154" s="807"/>
      <c r="N154" s="807">
        <v>10828.322435</v>
      </c>
      <c r="O154" s="576">
        <v>0</v>
      </c>
      <c r="P154" s="805"/>
      <c r="Q154" s="805"/>
    </row>
    <row r="155" spans="1:17" ht="16.5">
      <c r="A155" s="774">
        <v>13</v>
      </c>
      <c r="B155" s="826" t="s">
        <v>1276</v>
      </c>
      <c r="C155" s="576"/>
      <c r="D155" s="807">
        <v>11837.5245</v>
      </c>
      <c r="E155" s="807">
        <v>11224.974</v>
      </c>
      <c r="F155" s="807">
        <v>857.55150000000003</v>
      </c>
      <c r="G155" s="807"/>
      <c r="H155" s="807"/>
      <c r="I155" s="807"/>
      <c r="J155" s="807"/>
      <c r="K155" s="807">
        <v>245.001</v>
      </c>
      <c r="L155" s="807"/>
      <c r="M155" s="807"/>
      <c r="N155" s="807">
        <v>11830.9395</v>
      </c>
      <c r="O155" s="576">
        <v>6.5849999999991269</v>
      </c>
      <c r="P155" s="805">
        <v>6.5849999999991269</v>
      </c>
      <c r="Q155" s="805"/>
    </row>
    <row r="156" spans="1:17" ht="16.5">
      <c r="A156" s="774">
        <v>14</v>
      </c>
      <c r="B156" s="826" t="s">
        <v>1277</v>
      </c>
      <c r="C156" s="576"/>
      <c r="D156" s="807">
        <v>9665.8488909999996</v>
      </c>
      <c r="E156" s="807">
        <v>9776.8488909999996</v>
      </c>
      <c r="F156" s="807">
        <v>316.5</v>
      </c>
      <c r="G156" s="807"/>
      <c r="H156" s="807"/>
      <c r="I156" s="807"/>
      <c r="J156" s="807"/>
      <c r="K156" s="807">
        <v>427.5</v>
      </c>
      <c r="L156" s="807"/>
      <c r="M156" s="807"/>
      <c r="N156" s="807">
        <v>9665.8488909999996</v>
      </c>
      <c r="O156" s="576">
        <v>0</v>
      </c>
      <c r="P156" s="805"/>
      <c r="Q156" s="805"/>
    </row>
    <row r="157" spans="1:17" ht="16.5">
      <c r="A157" s="774">
        <v>15</v>
      </c>
      <c r="B157" s="826" t="s">
        <v>1280</v>
      </c>
      <c r="C157" s="576">
        <v>200</v>
      </c>
      <c r="D157" s="807">
        <v>8766.884</v>
      </c>
      <c r="E157" s="807">
        <v>8928.884</v>
      </c>
      <c r="F157" s="807">
        <v>248</v>
      </c>
      <c r="G157" s="807"/>
      <c r="H157" s="807"/>
      <c r="I157" s="807"/>
      <c r="J157" s="807"/>
      <c r="K157" s="807">
        <v>410</v>
      </c>
      <c r="L157" s="807"/>
      <c r="M157" s="807"/>
      <c r="N157" s="807">
        <v>8966.884</v>
      </c>
      <c r="O157" s="576">
        <v>0</v>
      </c>
      <c r="P157" s="805"/>
      <c r="Q157" s="805"/>
    </row>
    <row r="158" spans="1:17" ht="16.5">
      <c r="A158" s="774">
        <v>16</v>
      </c>
      <c r="B158" s="826" t="s">
        <v>1281</v>
      </c>
      <c r="C158" s="576"/>
      <c r="D158" s="807">
        <v>12665.429000000002</v>
      </c>
      <c r="E158" s="807">
        <v>11722.969000000001</v>
      </c>
      <c r="F158" s="807">
        <v>1028.5999999999999</v>
      </c>
      <c r="G158" s="807"/>
      <c r="H158" s="807"/>
      <c r="I158" s="807"/>
      <c r="J158" s="807"/>
      <c r="K158" s="807">
        <v>86.14</v>
      </c>
      <c r="L158" s="807"/>
      <c r="M158" s="807"/>
      <c r="N158" s="807">
        <v>12665.429</v>
      </c>
      <c r="O158" s="576">
        <v>1.8189894035458565E-12</v>
      </c>
      <c r="P158" s="805"/>
      <c r="Q158" s="805"/>
    </row>
    <row r="159" spans="1:17" ht="16.5">
      <c r="A159" s="774">
        <v>17</v>
      </c>
      <c r="B159" s="826" t="s">
        <v>1282</v>
      </c>
      <c r="C159" s="576"/>
      <c r="D159" s="807">
        <v>13816.654999999999</v>
      </c>
      <c r="E159" s="807">
        <v>13566.054999999998</v>
      </c>
      <c r="F159" s="807">
        <v>329.6</v>
      </c>
      <c r="G159" s="807"/>
      <c r="H159" s="807">
        <v>500</v>
      </c>
      <c r="I159" s="807"/>
      <c r="J159" s="807"/>
      <c r="K159" s="807">
        <v>579</v>
      </c>
      <c r="L159" s="807"/>
      <c r="M159" s="807"/>
      <c r="N159" s="807">
        <v>13788.995999999999</v>
      </c>
      <c r="O159" s="576">
        <v>27.658999999999651</v>
      </c>
      <c r="P159" s="805"/>
      <c r="Q159" s="805">
        <v>27.658999999999999</v>
      </c>
    </row>
    <row r="160" spans="1:17" ht="16.5">
      <c r="A160" s="774">
        <v>18</v>
      </c>
      <c r="B160" s="826" t="s">
        <v>1283</v>
      </c>
      <c r="C160" s="576"/>
      <c r="D160" s="807">
        <v>11671.352999999999</v>
      </c>
      <c r="E160" s="807">
        <v>11839.362999999999</v>
      </c>
      <c r="F160" s="807">
        <v>354</v>
      </c>
      <c r="G160" s="807"/>
      <c r="H160" s="807"/>
      <c r="I160" s="807"/>
      <c r="J160" s="807"/>
      <c r="K160" s="807">
        <v>522.01</v>
      </c>
      <c r="L160" s="807"/>
      <c r="M160" s="807"/>
      <c r="N160" s="807">
        <v>11639.8377</v>
      </c>
      <c r="O160" s="576">
        <v>31.515299999999115</v>
      </c>
      <c r="P160" s="805"/>
      <c r="Q160" s="805">
        <v>31.515299999999115</v>
      </c>
    </row>
    <row r="161" spans="1:17" ht="16.5">
      <c r="A161" s="774">
        <v>19</v>
      </c>
      <c r="B161" s="826" t="s">
        <v>1284</v>
      </c>
      <c r="C161" s="576"/>
      <c r="D161" s="807">
        <v>11991.643258</v>
      </c>
      <c r="E161" s="807">
        <v>12137.343258000001</v>
      </c>
      <c r="F161" s="807">
        <v>390.3</v>
      </c>
      <c r="G161" s="807"/>
      <c r="H161" s="807"/>
      <c r="I161" s="807"/>
      <c r="J161" s="807"/>
      <c r="K161" s="807">
        <v>536</v>
      </c>
      <c r="L161" s="807"/>
      <c r="M161" s="807"/>
      <c r="N161" s="807">
        <v>11981.940145</v>
      </c>
      <c r="O161" s="576">
        <v>9.7031129999995755</v>
      </c>
      <c r="P161" s="805"/>
      <c r="Q161" s="805">
        <v>9.7031129999995755</v>
      </c>
    </row>
    <row r="162" spans="1:17" ht="16.5">
      <c r="A162" s="774">
        <v>20</v>
      </c>
      <c r="B162" s="826" t="s">
        <v>1285</v>
      </c>
      <c r="C162" s="576"/>
      <c r="D162" s="807">
        <v>12921.916009999997</v>
      </c>
      <c r="E162" s="807">
        <v>12144.516009999998</v>
      </c>
      <c r="F162" s="807">
        <v>887.4</v>
      </c>
      <c r="G162" s="807"/>
      <c r="H162" s="807"/>
      <c r="I162" s="807"/>
      <c r="J162" s="807"/>
      <c r="K162" s="807">
        <v>110</v>
      </c>
      <c r="L162" s="807"/>
      <c r="M162" s="807"/>
      <c r="N162" s="807">
        <v>12918.348196000001</v>
      </c>
      <c r="O162" s="576">
        <v>3.5678139999963605</v>
      </c>
      <c r="P162" s="805"/>
      <c r="Q162" s="805">
        <v>3.5678139999963605</v>
      </c>
    </row>
    <row r="163" spans="1:17" ht="16.5">
      <c r="A163" s="774">
        <v>21</v>
      </c>
      <c r="B163" s="826" t="s">
        <v>1286</v>
      </c>
      <c r="C163" s="576"/>
      <c r="D163" s="807">
        <v>8516.5960000000014</v>
      </c>
      <c r="E163" s="807">
        <v>7931.5460000000012</v>
      </c>
      <c r="F163" s="807">
        <v>604.29999999999995</v>
      </c>
      <c r="G163" s="807"/>
      <c r="H163" s="807"/>
      <c r="I163" s="807"/>
      <c r="J163" s="807"/>
      <c r="K163" s="807">
        <v>19.25</v>
      </c>
      <c r="L163" s="807"/>
      <c r="M163" s="807"/>
      <c r="N163" s="807">
        <v>8516.5959999999995</v>
      </c>
      <c r="O163" s="576">
        <v>1.8189894035458565E-12</v>
      </c>
      <c r="P163" s="805"/>
      <c r="Q163" s="805"/>
    </row>
    <row r="164" spans="1:17" ht="16.5">
      <c r="A164" s="774">
        <v>22</v>
      </c>
      <c r="B164" s="826" t="s">
        <v>1287</v>
      </c>
      <c r="C164" s="576"/>
      <c r="D164" s="807">
        <v>7727.2547619999996</v>
      </c>
      <c r="E164" s="807">
        <v>7286.3547619999999</v>
      </c>
      <c r="F164" s="807">
        <v>489.9</v>
      </c>
      <c r="G164" s="807"/>
      <c r="H164" s="807"/>
      <c r="I164" s="807"/>
      <c r="J164" s="807"/>
      <c r="K164" s="807">
        <v>49</v>
      </c>
      <c r="L164" s="807"/>
      <c r="M164" s="807"/>
      <c r="N164" s="807">
        <v>7727.2547619999996</v>
      </c>
      <c r="O164" s="576">
        <v>0</v>
      </c>
      <c r="P164" s="805"/>
      <c r="Q164" s="805"/>
    </row>
    <row r="165" spans="1:17" ht="16.5">
      <c r="A165" s="774">
        <v>23</v>
      </c>
      <c r="B165" s="826" t="s">
        <v>1288</v>
      </c>
      <c r="C165" s="576"/>
      <c r="D165" s="807">
        <v>12467.540999999997</v>
      </c>
      <c r="E165" s="817">
        <v>12532.384999999998</v>
      </c>
      <c r="F165" s="817">
        <v>526.15599999999995</v>
      </c>
      <c r="G165" s="807"/>
      <c r="H165" s="807"/>
      <c r="I165" s="807"/>
      <c r="J165" s="807"/>
      <c r="K165" s="807">
        <v>591</v>
      </c>
      <c r="L165" s="807"/>
      <c r="M165" s="807"/>
      <c r="N165" s="807">
        <v>12467.540999999999</v>
      </c>
      <c r="O165" s="576">
        <v>-1.8189894035458565E-12</v>
      </c>
      <c r="P165" s="805"/>
      <c r="Q165" s="805"/>
    </row>
    <row r="166" spans="1:17" ht="16.5">
      <c r="A166" s="774">
        <v>24</v>
      </c>
      <c r="B166" s="826" t="s">
        <v>1289</v>
      </c>
      <c r="C166" s="576"/>
      <c r="D166" s="807">
        <v>5176.2049999999999</v>
      </c>
      <c r="E166" s="807">
        <v>4902.5050000000001</v>
      </c>
      <c r="F166" s="807">
        <v>341.7</v>
      </c>
      <c r="G166" s="807"/>
      <c r="H166" s="807"/>
      <c r="I166" s="807"/>
      <c r="J166" s="807"/>
      <c r="K166" s="807">
        <v>68</v>
      </c>
      <c r="L166" s="807"/>
      <c r="M166" s="807"/>
      <c r="N166" s="807">
        <v>5174.4170000000004</v>
      </c>
      <c r="O166" s="576">
        <v>1.7879999999995562</v>
      </c>
      <c r="P166" s="805">
        <v>0.84</v>
      </c>
      <c r="Q166" s="805">
        <v>0.94799999999999995</v>
      </c>
    </row>
    <row r="167" spans="1:17" ht="16.5">
      <c r="A167" s="774">
        <v>25</v>
      </c>
      <c r="B167" s="826" t="s">
        <v>1293</v>
      </c>
      <c r="C167" s="576"/>
      <c r="D167" s="807">
        <v>8570.9163969999991</v>
      </c>
      <c r="E167" s="807">
        <v>8666.6163969999998</v>
      </c>
      <c r="F167" s="807">
        <v>267.3</v>
      </c>
      <c r="G167" s="807"/>
      <c r="H167" s="807"/>
      <c r="I167" s="807"/>
      <c r="J167" s="807"/>
      <c r="K167" s="807">
        <v>363</v>
      </c>
      <c r="L167" s="807"/>
      <c r="M167" s="807"/>
      <c r="N167" s="807">
        <v>8557.817094</v>
      </c>
      <c r="O167" s="576">
        <v>13.099302999999054</v>
      </c>
      <c r="P167" s="805"/>
      <c r="Q167" s="805">
        <v>13.099302999999054</v>
      </c>
    </row>
    <row r="168" spans="1:17" ht="16.5">
      <c r="A168" s="774">
        <v>26</v>
      </c>
      <c r="B168" s="826" t="s">
        <v>1294</v>
      </c>
      <c r="C168" s="576"/>
      <c r="D168" s="807">
        <v>5223.1816399999998</v>
      </c>
      <c r="E168" s="807">
        <v>5023.0236399999994</v>
      </c>
      <c r="F168" s="807">
        <v>317.5</v>
      </c>
      <c r="G168" s="807"/>
      <c r="H168" s="807"/>
      <c r="I168" s="807"/>
      <c r="J168" s="807"/>
      <c r="K168" s="807">
        <v>117.342</v>
      </c>
      <c r="L168" s="807"/>
      <c r="M168" s="807"/>
      <c r="N168" s="807">
        <v>5083.4458560000003</v>
      </c>
      <c r="O168" s="576">
        <v>139.73578399999951</v>
      </c>
      <c r="P168" s="805">
        <v>139.73578399999951</v>
      </c>
      <c r="Q168" s="805"/>
    </row>
    <row r="169" spans="1:17" ht="16.5">
      <c r="A169" s="774">
        <v>27</v>
      </c>
      <c r="B169" s="826" t="s">
        <v>1297</v>
      </c>
      <c r="C169" s="576"/>
      <c r="D169" s="807">
        <v>7473.600730000001</v>
      </c>
      <c r="E169" s="807">
        <v>7164.5007300000007</v>
      </c>
      <c r="F169" s="807">
        <v>435.1</v>
      </c>
      <c r="G169" s="807"/>
      <c r="H169" s="807"/>
      <c r="I169" s="807"/>
      <c r="J169" s="807"/>
      <c r="K169" s="807">
        <v>126</v>
      </c>
      <c r="L169" s="807"/>
      <c r="M169" s="807"/>
      <c r="N169" s="807">
        <v>7248.0325949999997</v>
      </c>
      <c r="O169" s="576">
        <v>225.56813500000135</v>
      </c>
      <c r="P169" s="805">
        <v>225.37759700000001</v>
      </c>
      <c r="Q169" s="805">
        <v>0.19053800000000001</v>
      </c>
    </row>
    <row r="170" spans="1:17" ht="16.5">
      <c r="A170" s="774">
        <v>28</v>
      </c>
      <c r="B170" s="826" t="s">
        <v>1298</v>
      </c>
      <c r="C170" s="576"/>
      <c r="D170" s="807">
        <v>11441.996948999998</v>
      </c>
      <c r="E170" s="807">
        <v>10926.996948999998</v>
      </c>
      <c r="F170" s="807">
        <v>730</v>
      </c>
      <c r="G170" s="807"/>
      <c r="H170" s="807"/>
      <c r="I170" s="807"/>
      <c r="J170" s="807"/>
      <c r="K170" s="807">
        <v>215</v>
      </c>
      <c r="L170" s="807"/>
      <c r="M170" s="807"/>
      <c r="N170" s="807">
        <v>11318.067497</v>
      </c>
      <c r="O170" s="576">
        <v>123.92945199999849</v>
      </c>
      <c r="P170" s="805">
        <v>122.31504099999999</v>
      </c>
      <c r="Q170" s="805">
        <v>1.614411</v>
      </c>
    </row>
    <row r="171" spans="1:17" ht="16.5">
      <c r="A171" s="774">
        <v>29</v>
      </c>
      <c r="B171" s="826" t="s">
        <v>1299</v>
      </c>
      <c r="C171" s="576"/>
      <c r="D171" s="807">
        <v>11975.391</v>
      </c>
      <c r="E171" s="807">
        <v>12180.991</v>
      </c>
      <c r="F171" s="807">
        <v>377.4</v>
      </c>
      <c r="G171" s="807"/>
      <c r="H171" s="807"/>
      <c r="I171" s="807"/>
      <c r="J171" s="807"/>
      <c r="K171" s="807">
        <v>583</v>
      </c>
      <c r="L171" s="807"/>
      <c r="M171" s="807"/>
      <c r="N171" s="807">
        <v>11959.790999999999</v>
      </c>
      <c r="O171" s="576">
        <v>15.600000000000364</v>
      </c>
      <c r="P171" s="805">
        <v>15.600000000000364</v>
      </c>
      <c r="Q171" s="805"/>
    </row>
    <row r="172" spans="1:17" ht="16.5">
      <c r="A172" s="774">
        <v>30</v>
      </c>
      <c r="B172" s="826" t="s">
        <v>1300</v>
      </c>
      <c r="C172" s="576"/>
      <c r="D172" s="807">
        <v>11075.429905999999</v>
      </c>
      <c r="E172" s="807">
        <v>10606.963156</v>
      </c>
      <c r="F172" s="807">
        <v>682.46674999999993</v>
      </c>
      <c r="G172" s="807"/>
      <c r="H172" s="807"/>
      <c r="I172" s="807"/>
      <c r="J172" s="807"/>
      <c r="K172" s="807">
        <v>214</v>
      </c>
      <c r="L172" s="807"/>
      <c r="M172" s="807"/>
      <c r="N172" s="807">
        <v>11037.727892999999</v>
      </c>
      <c r="O172" s="576">
        <v>37.702013000000079</v>
      </c>
      <c r="P172" s="805">
        <v>37.702013000000079</v>
      </c>
      <c r="Q172" s="805"/>
    </row>
    <row r="173" spans="1:17" ht="16.5">
      <c r="A173" s="774">
        <v>31</v>
      </c>
      <c r="B173" s="826" t="s">
        <v>1301</v>
      </c>
      <c r="C173" s="576"/>
      <c r="D173" s="807">
        <v>11396.141</v>
      </c>
      <c r="E173" s="807">
        <v>11549.841</v>
      </c>
      <c r="F173" s="807">
        <v>384.8</v>
      </c>
      <c r="G173" s="807"/>
      <c r="H173" s="807"/>
      <c r="I173" s="807"/>
      <c r="J173" s="807"/>
      <c r="K173" s="807">
        <v>538.5</v>
      </c>
      <c r="L173" s="807"/>
      <c r="M173" s="807"/>
      <c r="N173" s="807">
        <v>11396.141</v>
      </c>
      <c r="O173" s="576">
        <v>0</v>
      </c>
      <c r="P173" s="805"/>
      <c r="Q173" s="805"/>
    </row>
    <row r="174" spans="1:17" ht="16.5">
      <c r="A174" s="774">
        <v>32</v>
      </c>
      <c r="B174" s="775" t="s">
        <v>2263</v>
      </c>
      <c r="C174" s="805"/>
      <c r="D174" s="807">
        <v>5396.2802000000001</v>
      </c>
      <c r="E174" s="805">
        <v>4930</v>
      </c>
      <c r="F174" s="805">
        <v>466.28020000000004</v>
      </c>
      <c r="G174" s="805"/>
      <c r="H174" s="805"/>
      <c r="I174" s="805"/>
      <c r="J174" s="805"/>
      <c r="K174" s="805"/>
      <c r="L174" s="805"/>
      <c r="M174" s="805"/>
      <c r="N174" s="805">
        <v>5396.2802000000011</v>
      </c>
      <c r="O174" s="576">
        <v>-9.0949470177292824E-13</v>
      </c>
      <c r="P174" s="805"/>
      <c r="Q174" s="805"/>
    </row>
    <row r="175" spans="1:17" ht="16.5">
      <c r="A175" s="774">
        <v>33</v>
      </c>
      <c r="B175" s="826" t="s">
        <v>1658</v>
      </c>
      <c r="C175" s="576">
        <v>2322.2730000000001</v>
      </c>
      <c r="D175" s="807">
        <v>33180.464999999997</v>
      </c>
      <c r="E175" s="805">
        <v>57004.055</v>
      </c>
      <c r="F175" s="805">
        <v>297</v>
      </c>
      <c r="G175" s="805"/>
      <c r="H175" s="805"/>
      <c r="I175" s="805"/>
      <c r="J175" s="805"/>
      <c r="K175" s="805">
        <v>24120.59</v>
      </c>
      <c r="L175" s="805"/>
      <c r="M175" s="805"/>
      <c r="N175" s="805">
        <v>35071.072937999998</v>
      </c>
      <c r="O175" s="576">
        <v>431.66506199999912</v>
      </c>
      <c r="P175" s="805"/>
      <c r="Q175" s="805">
        <v>431.66506199999998</v>
      </c>
    </row>
    <row r="176" spans="1:17" s="507" customFormat="1">
      <c r="A176" s="186" t="s">
        <v>1814</v>
      </c>
      <c r="B176" s="776" t="s">
        <v>2264</v>
      </c>
      <c r="C176" s="786">
        <v>18.420000000000002</v>
      </c>
      <c r="D176" s="786">
        <v>13251.2562</v>
      </c>
      <c r="E176" s="786">
        <v>13251.2562</v>
      </c>
      <c r="F176" s="786">
        <v>0</v>
      </c>
      <c r="G176" s="786">
        <v>0</v>
      </c>
      <c r="H176" s="786">
        <v>0</v>
      </c>
      <c r="I176" s="786">
        <v>0</v>
      </c>
      <c r="J176" s="786">
        <v>0</v>
      </c>
      <c r="K176" s="786">
        <v>0</v>
      </c>
      <c r="L176" s="786">
        <v>0</v>
      </c>
      <c r="M176" s="786">
        <v>0</v>
      </c>
      <c r="N176" s="786">
        <v>13228.5252</v>
      </c>
      <c r="O176" s="786">
        <v>41.150999999999925</v>
      </c>
      <c r="P176" s="786">
        <v>30.195999999999987</v>
      </c>
      <c r="Q176" s="786">
        <v>15.734999999999999</v>
      </c>
    </row>
    <row r="177" spans="1:17">
      <c r="A177" s="774">
        <v>1</v>
      </c>
      <c r="B177" s="829" t="s">
        <v>1657</v>
      </c>
      <c r="C177" s="576">
        <v>0</v>
      </c>
      <c r="D177" s="807">
        <v>30.588000000000001</v>
      </c>
      <c r="E177" s="817">
        <v>30.588000000000001</v>
      </c>
      <c r="F177" s="807"/>
      <c r="G177" s="807"/>
      <c r="H177" s="807"/>
      <c r="I177" s="807"/>
      <c r="J177" s="807"/>
      <c r="K177" s="807"/>
      <c r="L177" s="807"/>
      <c r="M177" s="807"/>
      <c r="N177" s="817">
        <v>30.588000000000001</v>
      </c>
      <c r="O177" s="576">
        <v>0</v>
      </c>
      <c r="P177" s="576"/>
      <c r="Q177" s="576"/>
    </row>
    <row r="178" spans="1:17">
      <c r="A178" s="774">
        <v>2</v>
      </c>
      <c r="B178" s="829" t="s">
        <v>1274</v>
      </c>
      <c r="C178" s="576">
        <v>1.2</v>
      </c>
      <c r="D178" s="807">
        <v>185.55</v>
      </c>
      <c r="E178" s="817">
        <v>185.55</v>
      </c>
      <c r="F178" s="807"/>
      <c r="G178" s="807"/>
      <c r="H178" s="807"/>
      <c r="I178" s="807"/>
      <c r="J178" s="807"/>
      <c r="K178" s="807"/>
      <c r="L178" s="807"/>
      <c r="M178" s="807"/>
      <c r="N178" s="817">
        <v>186.75</v>
      </c>
      <c r="O178" s="576">
        <v>1.1324274851176597E-14</v>
      </c>
      <c r="P178" s="576"/>
      <c r="Q178" s="576"/>
    </row>
    <row r="179" spans="1:17">
      <c r="A179" s="774">
        <v>3</v>
      </c>
      <c r="B179" s="829" t="s">
        <v>1700</v>
      </c>
      <c r="C179" s="576">
        <v>0.15</v>
      </c>
      <c r="D179" s="807">
        <v>148.07759999999999</v>
      </c>
      <c r="E179" s="817">
        <v>148.07759999999999</v>
      </c>
      <c r="F179" s="807"/>
      <c r="G179" s="807"/>
      <c r="H179" s="807"/>
      <c r="I179" s="807"/>
      <c r="J179" s="807"/>
      <c r="K179" s="807"/>
      <c r="L179" s="807"/>
      <c r="M179" s="807"/>
      <c r="N179" s="817">
        <v>148.2276</v>
      </c>
      <c r="O179" s="576">
        <v>-5.6898930012039273E-15</v>
      </c>
      <c r="P179" s="576"/>
      <c r="Q179" s="576"/>
    </row>
    <row r="180" spans="1:17">
      <c r="A180" s="774">
        <v>4</v>
      </c>
      <c r="B180" s="829" t="s">
        <v>1701</v>
      </c>
      <c r="C180" s="576"/>
      <c r="D180" s="807">
        <v>393.27</v>
      </c>
      <c r="E180" s="817">
        <v>393.27</v>
      </c>
      <c r="F180" s="807"/>
      <c r="G180" s="807"/>
      <c r="H180" s="807"/>
      <c r="I180" s="807"/>
      <c r="J180" s="807"/>
      <c r="K180" s="807"/>
      <c r="L180" s="807"/>
      <c r="M180" s="807"/>
      <c r="N180" s="817">
        <v>393.27</v>
      </c>
      <c r="O180" s="576">
        <v>0</v>
      </c>
      <c r="P180" s="576"/>
      <c r="Q180" s="576"/>
    </row>
    <row r="181" spans="1:17">
      <c r="A181" s="774">
        <v>5</v>
      </c>
      <c r="B181" s="829" t="s">
        <v>1812</v>
      </c>
      <c r="C181" s="576">
        <v>5.4</v>
      </c>
      <c r="D181" s="807">
        <v>1404.2945999999999</v>
      </c>
      <c r="E181" s="817">
        <v>1404.2945999999999</v>
      </c>
      <c r="F181" s="807"/>
      <c r="G181" s="807"/>
      <c r="H181" s="807"/>
      <c r="I181" s="807"/>
      <c r="J181" s="807"/>
      <c r="K181" s="807"/>
      <c r="L181" s="807"/>
      <c r="M181" s="807"/>
      <c r="N181" s="817">
        <v>1401.5496000000001</v>
      </c>
      <c r="O181" s="576">
        <v>8.1449999999998912</v>
      </c>
      <c r="P181" s="576">
        <v>4.8</v>
      </c>
      <c r="Q181" s="576">
        <v>3.3450000000000002</v>
      </c>
    </row>
    <row r="182" spans="1:17">
      <c r="A182" s="774">
        <v>6</v>
      </c>
      <c r="B182" s="829" t="s">
        <v>1813</v>
      </c>
      <c r="C182" s="576">
        <v>0</v>
      </c>
      <c r="D182" s="807">
        <v>5.43</v>
      </c>
      <c r="E182" s="817">
        <v>5.43</v>
      </c>
      <c r="F182" s="807"/>
      <c r="G182" s="807"/>
      <c r="H182" s="807"/>
      <c r="I182" s="807"/>
      <c r="J182" s="807"/>
      <c r="K182" s="807"/>
      <c r="L182" s="807"/>
      <c r="M182" s="807"/>
      <c r="N182" s="817">
        <v>5.43</v>
      </c>
      <c r="O182" s="576">
        <v>0</v>
      </c>
      <c r="P182" s="576">
        <v>4.8</v>
      </c>
      <c r="Q182" s="576"/>
    </row>
    <row r="183" spans="1:17" ht="16.5">
      <c r="A183" s="774">
        <v>7</v>
      </c>
      <c r="B183" s="826" t="s">
        <v>1273</v>
      </c>
      <c r="C183" s="576">
        <v>0</v>
      </c>
      <c r="D183" s="807">
        <v>618.15599999999995</v>
      </c>
      <c r="E183" s="817">
        <v>618.15599999999995</v>
      </c>
      <c r="F183" s="807"/>
      <c r="G183" s="807"/>
      <c r="H183" s="807"/>
      <c r="I183" s="807"/>
      <c r="J183" s="807"/>
      <c r="K183" s="807"/>
      <c r="L183" s="807"/>
      <c r="M183" s="807"/>
      <c r="N183" s="817">
        <v>612.68399999999997</v>
      </c>
      <c r="O183" s="576">
        <v>5.47199999999998</v>
      </c>
      <c r="P183" s="576">
        <v>5.47199999999998</v>
      </c>
      <c r="Q183" s="576"/>
    </row>
    <row r="184" spans="1:17">
      <c r="A184" s="774">
        <v>8</v>
      </c>
      <c r="B184" s="829" t="s">
        <v>1290</v>
      </c>
      <c r="C184" s="576">
        <v>0</v>
      </c>
      <c r="D184" s="807">
        <v>63.87</v>
      </c>
      <c r="E184" s="817">
        <v>63.87</v>
      </c>
      <c r="F184" s="807"/>
      <c r="G184" s="807"/>
      <c r="H184" s="807"/>
      <c r="I184" s="807"/>
      <c r="J184" s="807"/>
      <c r="K184" s="807"/>
      <c r="L184" s="807"/>
      <c r="M184" s="807"/>
      <c r="N184" s="817">
        <v>63.87</v>
      </c>
      <c r="O184" s="576">
        <v>0</v>
      </c>
      <c r="P184" s="576"/>
      <c r="Q184" s="576"/>
    </row>
    <row r="185" spans="1:17">
      <c r="A185" s="774">
        <v>9</v>
      </c>
      <c r="B185" s="829" t="s">
        <v>1275</v>
      </c>
      <c r="C185" s="576">
        <v>0</v>
      </c>
      <c r="D185" s="807">
        <v>144.6</v>
      </c>
      <c r="E185" s="817">
        <v>144.6</v>
      </c>
      <c r="F185" s="807"/>
      <c r="G185" s="807"/>
      <c r="H185" s="807"/>
      <c r="I185" s="807"/>
      <c r="J185" s="807"/>
      <c r="K185" s="807"/>
      <c r="L185" s="807"/>
      <c r="M185" s="807"/>
      <c r="N185" s="817">
        <v>144.6</v>
      </c>
      <c r="O185" s="576">
        <v>0</v>
      </c>
      <c r="P185" s="576"/>
      <c r="Q185" s="576"/>
    </row>
    <row r="186" spans="1:17">
      <c r="A186" s="774">
        <v>10</v>
      </c>
      <c r="B186" s="829" t="s">
        <v>1276</v>
      </c>
      <c r="C186" s="576">
        <v>0</v>
      </c>
      <c r="D186" s="807">
        <v>120.75</v>
      </c>
      <c r="E186" s="817">
        <v>120.75</v>
      </c>
      <c r="F186" s="807"/>
      <c r="G186" s="807"/>
      <c r="H186" s="807"/>
      <c r="I186" s="807"/>
      <c r="J186" s="807"/>
      <c r="K186" s="807"/>
      <c r="L186" s="807"/>
      <c r="M186" s="807"/>
      <c r="N186" s="817">
        <v>118.71</v>
      </c>
      <c r="O186" s="576">
        <v>2.0400000000000063</v>
      </c>
      <c r="P186" s="576">
        <v>2.0400000000000063</v>
      </c>
      <c r="Q186" s="576"/>
    </row>
    <row r="187" spans="1:17">
      <c r="A187" s="774">
        <v>11</v>
      </c>
      <c r="B187" s="829" t="s">
        <v>1277</v>
      </c>
      <c r="C187" s="576">
        <v>0</v>
      </c>
      <c r="D187" s="807">
        <v>164.32499999999999</v>
      </c>
      <c r="E187" s="817">
        <v>164.32499999999999</v>
      </c>
      <c r="F187" s="807"/>
      <c r="G187" s="807"/>
      <c r="H187" s="807"/>
      <c r="I187" s="807"/>
      <c r="J187" s="807"/>
      <c r="K187" s="807"/>
      <c r="L187" s="807"/>
      <c r="M187" s="807"/>
      <c r="N187" s="817">
        <v>164.32499999999999</v>
      </c>
      <c r="O187" s="576">
        <v>0</v>
      </c>
      <c r="P187" s="576"/>
      <c r="Q187" s="576"/>
    </row>
    <row r="188" spans="1:17" ht="15.75" customHeight="1">
      <c r="A188" s="774">
        <v>12</v>
      </c>
      <c r="B188" s="826" t="s">
        <v>1278</v>
      </c>
      <c r="C188" s="576">
        <v>0.6</v>
      </c>
      <c r="D188" s="807">
        <v>39.75</v>
      </c>
      <c r="E188" s="817">
        <v>39.75</v>
      </c>
      <c r="F188" s="807"/>
      <c r="G188" s="807"/>
      <c r="H188" s="807"/>
      <c r="I188" s="807"/>
      <c r="J188" s="807"/>
      <c r="K188" s="807"/>
      <c r="L188" s="807"/>
      <c r="M188" s="807"/>
      <c r="N188" s="817">
        <v>40.35</v>
      </c>
      <c r="O188" s="576">
        <v>-1.4432899320127035E-15</v>
      </c>
      <c r="P188" s="576"/>
      <c r="Q188" s="576"/>
    </row>
    <row r="189" spans="1:17">
      <c r="A189" s="774">
        <v>13</v>
      </c>
      <c r="B189" s="829" t="s">
        <v>1280</v>
      </c>
      <c r="C189" s="576">
        <v>0</v>
      </c>
      <c r="D189" s="807">
        <v>89.174999999999997</v>
      </c>
      <c r="E189" s="817">
        <v>89.174999999999997</v>
      </c>
      <c r="F189" s="807"/>
      <c r="G189" s="807"/>
      <c r="H189" s="807"/>
      <c r="I189" s="807"/>
      <c r="J189" s="807"/>
      <c r="K189" s="807"/>
      <c r="L189" s="807"/>
      <c r="M189" s="807"/>
      <c r="N189" s="817">
        <v>89.174999999999997</v>
      </c>
      <c r="O189" s="576">
        <v>0</v>
      </c>
      <c r="P189" s="576"/>
      <c r="Q189" s="576"/>
    </row>
    <row r="190" spans="1:17">
      <c r="A190" s="774">
        <v>14</v>
      </c>
      <c r="B190" s="829" t="s">
        <v>1281</v>
      </c>
      <c r="C190" s="576">
        <v>7.95</v>
      </c>
      <c r="D190" s="807">
        <v>1103.8530000000001</v>
      </c>
      <c r="E190" s="817">
        <v>1103.8530000000001</v>
      </c>
      <c r="F190" s="807"/>
      <c r="G190" s="807"/>
      <c r="H190" s="807"/>
      <c r="I190" s="807"/>
      <c r="J190" s="807"/>
      <c r="K190" s="807"/>
      <c r="L190" s="807"/>
      <c r="M190" s="807"/>
      <c r="N190" s="817">
        <v>1099.701</v>
      </c>
      <c r="O190" s="576">
        <v>12.102000000000043</v>
      </c>
      <c r="P190" s="576">
        <v>6.8319999999999999</v>
      </c>
      <c r="Q190" s="576">
        <v>5.25</v>
      </c>
    </row>
    <row r="191" spans="1:17">
      <c r="A191" s="774">
        <v>15</v>
      </c>
      <c r="B191" s="829" t="s">
        <v>1282</v>
      </c>
      <c r="C191" s="576">
        <v>0</v>
      </c>
      <c r="D191" s="807">
        <v>119.97</v>
      </c>
      <c r="E191" s="817">
        <v>119.97</v>
      </c>
      <c r="F191" s="807"/>
      <c r="G191" s="807"/>
      <c r="H191" s="807"/>
      <c r="I191" s="807"/>
      <c r="J191" s="807"/>
      <c r="K191" s="807"/>
      <c r="L191" s="807"/>
      <c r="M191" s="807"/>
      <c r="N191" s="817">
        <v>119.97</v>
      </c>
      <c r="O191" s="576">
        <v>0</v>
      </c>
      <c r="P191" s="576"/>
      <c r="Q191" s="576"/>
    </row>
    <row r="192" spans="1:17">
      <c r="A192" s="774">
        <v>16</v>
      </c>
      <c r="B192" s="829" t="s">
        <v>1283</v>
      </c>
      <c r="C192" s="576"/>
      <c r="D192" s="807">
        <v>333.45</v>
      </c>
      <c r="E192" s="817">
        <v>333.45</v>
      </c>
      <c r="F192" s="807"/>
      <c r="G192" s="807"/>
      <c r="H192" s="807"/>
      <c r="I192" s="807"/>
      <c r="J192" s="807"/>
      <c r="K192" s="807"/>
      <c r="L192" s="807"/>
      <c r="M192" s="807"/>
      <c r="N192" s="817">
        <v>332.85</v>
      </c>
      <c r="O192" s="576">
        <v>0.59999999999996589</v>
      </c>
      <c r="P192" s="576">
        <v>0.6</v>
      </c>
      <c r="Q192" s="576"/>
    </row>
    <row r="193" spans="1:17">
      <c r="A193" s="774">
        <v>17</v>
      </c>
      <c r="B193" s="829" t="s">
        <v>1284</v>
      </c>
      <c r="C193" s="576">
        <v>0</v>
      </c>
      <c r="D193" s="807">
        <v>164.17500000000001</v>
      </c>
      <c r="E193" s="817">
        <v>164.17500000000001</v>
      </c>
      <c r="F193" s="807"/>
      <c r="G193" s="807"/>
      <c r="H193" s="807"/>
      <c r="I193" s="807"/>
      <c r="J193" s="807"/>
      <c r="K193" s="807"/>
      <c r="L193" s="807"/>
      <c r="M193" s="807"/>
      <c r="N193" s="817">
        <v>164.17500000000001</v>
      </c>
      <c r="O193" s="576">
        <v>0</v>
      </c>
      <c r="P193" s="576"/>
      <c r="Q193" s="576"/>
    </row>
    <row r="194" spans="1:17">
      <c r="A194" s="774">
        <v>18</v>
      </c>
      <c r="B194" s="829" t="s">
        <v>1285</v>
      </c>
      <c r="C194" s="576">
        <v>0</v>
      </c>
      <c r="D194" s="807">
        <v>273.45600000000002</v>
      </c>
      <c r="E194" s="817">
        <v>273.45600000000002</v>
      </c>
      <c r="F194" s="807"/>
      <c r="G194" s="807"/>
      <c r="H194" s="807"/>
      <c r="I194" s="807"/>
      <c r="J194" s="807"/>
      <c r="K194" s="807"/>
      <c r="L194" s="807"/>
      <c r="M194" s="807"/>
      <c r="N194" s="817">
        <v>272.73599999999999</v>
      </c>
      <c r="O194" s="576">
        <v>0.72000000000002728</v>
      </c>
      <c r="P194" s="576">
        <v>0.72</v>
      </c>
      <c r="Q194" s="576"/>
    </row>
    <row r="195" spans="1:17">
      <c r="A195" s="774">
        <v>19</v>
      </c>
      <c r="B195" s="829" t="s">
        <v>1286</v>
      </c>
      <c r="C195" s="576">
        <v>2.4</v>
      </c>
      <c r="D195" s="807">
        <v>547.72500000000002</v>
      </c>
      <c r="E195" s="817">
        <v>547.72500000000002</v>
      </c>
      <c r="F195" s="807"/>
      <c r="G195" s="807"/>
      <c r="H195" s="807"/>
      <c r="I195" s="807"/>
      <c r="J195" s="807"/>
      <c r="K195" s="807"/>
      <c r="L195" s="807"/>
      <c r="M195" s="807"/>
      <c r="N195" s="817">
        <v>546.03300000000002</v>
      </c>
      <c r="O195" s="576">
        <v>4.0920000000000076</v>
      </c>
      <c r="P195" s="576">
        <v>4.0919999999999996</v>
      </c>
      <c r="Q195" s="576"/>
    </row>
    <row r="196" spans="1:17">
      <c r="A196" s="774">
        <v>20</v>
      </c>
      <c r="B196" s="829" t="s">
        <v>1287</v>
      </c>
      <c r="C196" s="576">
        <v>0.6</v>
      </c>
      <c r="D196" s="807">
        <v>91.143000000000001</v>
      </c>
      <c r="E196" s="817">
        <v>91.143000000000001</v>
      </c>
      <c r="F196" s="807"/>
      <c r="G196" s="807"/>
      <c r="H196" s="807"/>
      <c r="I196" s="807"/>
      <c r="J196" s="807"/>
      <c r="K196" s="807"/>
      <c r="L196" s="807"/>
      <c r="M196" s="807"/>
      <c r="N196" s="817">
        <v>91.742999999999995</v>
      </c>
      <c r="O196" s="576">
        <v>5.6621374255882984E-15</v>
      </c>
      <c r="P196" s="576"/>
      <c r="Q196" s="576"/>
    </row>
    <row r="197" spans="1:17">
      <c r="A197" s="774">
        <v>21</v>
      </c>
      <c r="B197" s="829" t="s">
        <v>1288</v>
      </c>
      <c r="C197" s="576">
        <v>0</v>
      </c>
      <c r="D197" s="807">
        <v>164.535</v>
      </c>
      <c r="E197" s="817">
        <v>164.535</v>
      </c>
      <c r="F197" s="807"/>
      <c r="G197" s="807"/>
      <c r="H197" s="807"/>
      <c r="I197" s="807"/>
      <c r="J197" s="807"/>
      <c r="K197" s="807"/>
      <c r="L197" s="807"/>
      <c r="M197" s="807"/>
      <c r="N197" s="817">
        <v>162.73500000000001</v>
      </c>
      <c r="O197" s="576">
        <v>1.7999999999999829</v>
      </c>
      <c r="P197" s="576">
        <v>0.3</v>
      </c>
      <c r="Q197" s="576">
        <v>1.5</v>
      </c>
    </row>
    <row r="198" spans="1:17">
      <c r="A198" s="774">
        <v>22</v>
      </c>
      <c r="B198" s="829" t="s">
        <v>1289</v>
      </c>
      <c r="C198" s="576">
        <v>0</v>
      </c>
      <c r="D198" s="807">
        <v>17.46</v>
      </c>
      <c r="E198" s="817">
        <v>17.46</v>
      </c>
      <c r="F198" s="807"/>
      <c r="G198" s="807"/>
      <c r="H198" s="807"/>
      <c r="I198" s="807"/>
      <c r="J198" s="807"/>
      <c r="K198" s="807"/>
      <c r="L198" s="807"/>
      <c r="M198" s="807"/>
      <c r="N198" s="817">
        <v>15.87</v>
      </c>
      <c r="O198" s="576">
        <v>1.5900000000000016</v>
      </c>
      <c r="P198" s="576"/>
      <c r="Q198" s="576">
        <v>1.59</v>
      </c>
    </row>
    <row r="199" spans="1:17">
      <c r="A199" s="774">
        <v>23</v>
      </c>
      <c r="B199" s="829" t="s">
        <v>1293</v>
      </c>
      <c r="C199" s="576">
        <v>0</v>
      </c>
      <c r="D199" s="807">
        <v>103.35</v>
      </c>
      <c r="E199" s="817">
        <v>103.35</v>
      </c>
      <c r="F199" s="807"/>
      <c r="G199" s="807"/>
      <c r="H199" s="807"/>
      <c r="I199" s="807"/>
      <c r="J199" s="807"/>
      <c r="K199" s="807"/>
      <c r="L199" s="807"/>
      <c r="M199" s="807"/>
      <c r="N199" s="817">
        <v>103.35</v>
      </c>
      <c r="O199" s="576">
        <v>0</v>
      </c>
      <c r="P199" s="576"/>
      <c r="Q199" s="576"/>
    </row>
    <row r="200" spans="1:17">
      <c r="A200" s="774">
        <v>24</v>
      </c>
      <c r="B200" s="829" t="s">
        <v>1294</v>
      </c>
      <c r="C200" s="576">
        <v>0</v>
      </c>
      <c r="D200" s="807">
        <v>36.81</v>
      </c>
      <c r="E200" s="817">
        <v>36.81</v>
      </c>
      <c r="F200" s="807"/>
      <c r="G200" s="807"/>
      <c r="H200" s="807"/>
      <c r="I200" s="807"/>
      <c r="J200" s="807"/>
      <c r="K200" s="807"/>
      <c r="L200" s="807"/>
      <c r="M200" s="807"/>
      <c r="N200" s="817">
        <v>36.659999999999997</v>
      </c>
      <c r="O200" s="576">
        <v>0.15000000000000568</v>
      </c>
      <c r="P200" s="576"/>
      <c r="Q200" s="576">
        <v>0.15</v>
      </c>
    </row>
    <row r="201" spans="1:17">
      <c r="A201" s="774">
        <v>25</v>
      </c>
      <c r="B201" s="829" t="s">
        <v>1297</v>
      </c>
      <c r="C201" s="576">
        <v>0</v>
      </c>
      <c r="D201" s="807">
        <v>444.09</v>
      </c>
      <c r="E201" s="817">
        <v>444.09</v>
      </c>
      <c r="F201" s="807"/>
      <c r="G201" s="807"/>
      <c r="H201" s="807"/>
      <c r="I201" s="807"/>
      <c r="J201" s="807"/>
      <c r="K201" s="807"/>
      <c r="L201" s="807"/>
      <c r="M201" s="807"/>
      <c r="N201" s="817">
        <v>439.95</v>
      </c>
      <c r="O201" s="576">
        <v>4.1399999999999864</v>
      </c>
      <c r="P201" s="576">
        <v>0.24</v>
      </c>
      <c r="Q201" s="576">
        <v>3.8999999999999995</v>
      </c>
    </row>
    <row r="202" spans="1:17">
      <c r="A202" s="774">
        <v>26</v>
      </c>
      <c r="B202" s="829" t="s">
        <v>1298</v>
      </c>
      <c r="C202" s="576">
        <v>0</v>
      </c>
      <c r="D202" s="807">
        <v>83.79</v>
      </c>
      <c r="E202" s="817">
        <v>83.79</v>
      </c>
      <c r="F202" s="807"/>
      <c r="G202" s="807"/>
      <c r="H202" s="807"/>
      <c r="I202" s="807"/>
      <c r="J202" s="807"/>
      <c r="K202" s="807"/>
      <c r="L202" s="807"/>
      <c r="M202" s="807"/>
      <c r="N202" s="817">
        <v>83.79</v>
      </c>
      <c r="O202" s="576">
        <v>0</v>
      </c>
      <c r="P202" s="576"/>
      <c r="Q202" s="576"/>
    </row>
    <row r="203" spans="1:17">
      <c r="A203" s="774">
        <v>27</v>
      </c>
      <c r="B203" s="829" t="s">
        <v>1299</v>
      </c>
      <c r="C203" s="576">
        <v>0</v>
      </c>
      <c r="D203" s="807">
        <v>91.275000000000006</v>
      </c>
      <c r="E203" s="817">
        <v>91.275000000000006</v>
      </c>
      <c r="F203" s="807"/>
      <c r="G203" s="807"/>
      <c r="H203" s="807"/>
      <c r="I203" s="807"/>
      <c r="J203" s="807"/>
      <c r="K203" s="807"/>
      <c r="L203" s="807"/>
      <c r="M203" s="807"/>
      <c r="N203" s="817">
        <v>90.974999999999994</v>
      </c>
      <c r="O203" s="576">
        <v>0.30000000000001137</v>
      </c>
      <c r="P203" s="576">
        <v>0.3</v>
      </c>
      <c r="Q203" s="576"/>
    </row>
    <row r="204" spans="1:17">
      <c r="A204" s="774">
        <v>28</v>
      </c>
      <c r="B204" s="829" t="s">
        <v>1300</v>
      </c>
      <c r="C204" s="576">
        <v>0.12</v>
      </c>
      <c r="D204" s="807">
        <v>100.2</v>
      </c>
      <c r="E204" s="817">
        <v>100.2</v>
      </c>
      <c r="F204" s="807"/>
      <c r="G204" s="807"/>
      <c r="H204" s="807"/>
      <c r="I204" s="807"/>
      <c r="J204" s="807"/>
      <c r="K204" s="807"/>
      <c r="L204" s="807"/>
      <c r="M204" s="807"/>
      <c r="N204" s="817">
        <v>100.32</v>
      </c>
      <c r="O204" s="576">
        <v>9.6589403142388619E-15</v>
      </c>
      <c r="P204" s="576"/>
      <c r="Q204" s="576"/>
    </row>
    <row r="205" spans="1:17">
      <c r="A205" s="774">
        <v>29</v>
      </c>
      <c r="B205" s="829" t="s">
        <v>1301</v>
      </c>
      <c r="C205" s="576">
        <v>0</v>
      </c>
      <c r="D205" s="807">
        <v>119.4</v>
      </c>
      <c r="E205" s="817">
        <v>119.4</v>
      </c>
      <c r="F205" s="807"/>
      <c r="G205" s="807"/>
      <c r="H205" s="807"/>
      <c r="I205" s="807"/>
      <c r="J205" s="807"/>
      <c r="K205" s="807"/>
      <c r="L205" s="807"/>
      <c r="M205" s="807"/>
      <c r="N205" s="817">
        <v>119.4</v>
      </c>
      <c r="O205" s="576">
        <v>0</v>
      </c>
      <c r="P205" s="576"/>
      <c r="Q205" s="576"/>
    </row>
    <row r="206" spans="1:17">
      <c r="A206" s="774">
        <v>30</v>
      </c>
      <c r="B206" s="829" t="s">
        <v>2421</v>
      </c>
      <c r="C206" s="576">
        <v>0</v>
      </c>
      <c r="D206" s="807">
        <v>0</v>
      </c>
      <c r="E206" s="817">
        <v>0</v>
      </c>
      <c r="F206" s="805"/>
      <c r="G206" s="805"/>
      <c r="H206" s="805"/>
      <c r="I206" s="805"/>
      <c r="J206" s="805"/>
      <c r="K206" s="805"/>
      <c r="L206" s="805"/>
      <c r="M206" s="805"/>
      <c r="N206" s="817">
        <v>0</v>
      </c>
      <c r="O206" s="576">
        <v>0</v>
      </c>
      <c r="P206" s="576"/>
      <c r="Q206" s="576"/>
    </row>
    <row r="207" spans="1:17" ht="16.5">
      <c r="A207" s="774">
        <v>31</v>
      </c>
      <c r="B207" s="775" t="s">
        <v>1308</v>
      </c>
      <c r="C207" s="805"/>
      <c r="D207" s="807">
        <v>86.183999999999997</v>
      </c>
      <c r="E207" s="805">
        <v>86.183999999999997</v>
      </c>
      <c r="F207" s="805"/>
      <c r="G207" s="805"/>
      <c r="H207" s="805"/>
      <c r="I207" s="805"/>
      <c r="J207" s="805"/>
      <c r="K207" s="805"/>
      <c r="L207" s="805"/>
      <c r="M207" s="805"/>
      <c r="N207" s="805">
        <v>86.183999999999997</v>
      </c>
      <c r="O207" s="576">
        <v>0</v>
      </c>
      <c r="P207" s="805"/>
      <c r="Q207" s="805"/>
    </row>
    <row r="208" spans="1:17" ht="16.5">
      <c r="A208" s="774">
        <v>32</v>
      </c>
      <c r="B208" s="775" t="s">
        <v>2263</v>
      </c>
      <c r="C208" s="805"/>
      <c r="D208" s="807">
        <v>51.36</v>
      </c>
      <c r="E208" s="805">
        <v>51.36</v>
      </c>
      <c r="F208" s="805"/>
      <c r="G208" s="805"/>
      <c r="H208" s="805"/>
      <c r="I208" s="805"/>
      <c r="J208" s="805"/>
      <c r="K208" s="805"/>
      <c r="L208" s="805"/>
      <c r="M208" s="805"/>
      <c r="N208" s="805">
        <v>51.36</v>
      </c>
      <c r="O208" s="576">
        <v>0</v>
      </c>
      <c r="P208" s="805"/>
      <c r="Q208" s="805"/>
    </row>
    <row r="209" spans="1:17" ht="16.5">
      <c r="A209" s="774">
        <v>33</v>
      </c>
      <c r="B209" s="775" t="s">
        <v>1820</v>
      </c>
      <c r="C209" s="805"/>
      <c r="D209" s="807">
        <v>5911.1939999999995</v>
      </c>
      <c r="E209" s="805">
        <v>5911.1939999999995</v>
      </c>
      <c r="F209" s="805"/>
      <c r="G209" s="805"/>
      <c r="H209" s="805"/>
      <c r="I209" s="805"/>
      <c r="J209" s="805"/>
      <c r="K209" s="805"/>
      <c r="L209" s="805"/>
      <c r="M209" s="805"/>
      <c r="N209" s="805">
        <v>5911.1939999999995</v>
      </c>
      <c r="O209" s="576">
        <v>0</v>
      </c>
      <c r="P209" s="805"/>
      <c r="Q209" s="805"/>
    </row>
    <row r="210" spans="1:17" ht="95.25" customHeight="1">
      <c r="A210" s="186" t="s">
        <v>1815</v>
      </c>
      <c r="B210" s="924" t="s">
        <v>1924</v>
      </c>
      <c r="C210" s="806">
        <v>0</v>
      </c>
      <c r="D210" s="806">
        <v>12268.12</v>
      </c>
      <c r="E210" s="806">
        <v>12268.12</v>
      </c>
      <c r="F210" s="806">
        <v>0</v>
      </c>
      <c r="G210" s="806">
        <v>0</v>
      </c>
      <c r="H210" s="806">
        <v>0</v>
      </c>
      <c r="I210" s="806">
        <v>0</v>
      </c>
      <c r="J210" s="806">
        <v>0</v>
      </c>
      <c r="K210" s="806">
        <v>0</v>
      </c>
      <c r="L210" s="806">
        <v>0</v>
      </c>
      <c r="M210" s="806">
        <v>0</v>
      </c>
      <c r="N210" s="806">
        <v>12125.594999999999</v>
      </c>
      <c r="O210" s="806">
        <v>142.52499999999992</v>
      </c>
      <c r="P210" s="806">
        <v>0</v>
      </c>
      <c r="Q210" s="806">
        <v>142.52499999999992</v>
      </c>
    </row>
    <row r="211" spans="1:17">
      <c r="A211" s="197">
        <v>1</v>
      </c>
      <c r="B211" s="829" t="s">
        <v>1274</v>
      </c>
      <c r="C211" s="805">
        <v>0</v>
      </c>
      <c r="D211" s="807">
        <v>58.475000000000001</v>
      </c>
      <c r="E211" s="805">
        <v>58.475000000000001</v>
      </c>
      <c r="F211" s="805">
        <v>0</v>
      </c>
      <c r="G211" s="805">
        <v>0</v>
      </c>
      <c r="H211" s="805">
        <v>0</v>
      </c>
      <c r="I211" s="805">
        <v>0</v>
      </c>
      <c r="J211" s="805">
        <v>0</v>
      </c>
      <c r="K211" s="805">
        <v>0</v>
      </c>
      <c r="L211" s="805">
        <v>0</v>
      </c>
      <c r="M211" s="805">
        <v>0</v>
      </c>
      <c r="N211" s="805">
        <v>58.475000000000001</v>
      </c>
      <c r="O211" s="576">
        <v>0</v>
      </c>
      <c r="P211" s="576"/>
      <c r="Q211" s="576">
        <v>0</v>
      </c>
    </row>
    <row r="212" spans="1:17">
      <c r="A212" s="197">
        <v>2</v>
      </c>
      <c r="B212" s="829" t="s">
        <v>1700</v>
      </c>
      <c r="C212" s="805">
        <v>0</v>
      </c>
      <c r="D212" s="807">
        <v>167.1</v>
      </c>
      <c r="E212" s="805">
        <v>167.1</v>
      </c>
      <c r="F212" s="805">
        <v>0</v>
      </c>
      <c r="G212" s="805">
        <v>0</v>
      </c>
      <c r="H212" s="805">
        <v>0</v>
      </c>
      <c r="I212" s="805">
        <v>0</v>
      </c>
      <c r="J212" s="805">
        <v>0</v>
      </c>
      <c r="K212" s="805">
        <v>0</v>
      </c>
      <c r="L212" s="805">
        <v>0</v>
      </c>
      <c r="M212" s="805">
        <v>0</v>
      </c>
      <c r="N212" s="805">
        <v>167.1</v>
      </c>
      <c r="O212" s="576">
        <v>0</v>
      </c>
      <c r="P212" s="576"/>
      <c r="Q212" s="576">
        <v>0</v>
      </c>
    </row>
    <row r="213" spans="1:17">
      <c r="A213" s="197">
        <v>3</v>
      </c>
      <c r="B213" s="829" t="s">
        <v>1812</v>
      </c>
      <c r="C213" s="805">
        <v>0</v>
      </c>
      <c r="D213" s="807">
        <v>5865.4449999999997</v>
      </c>
      <c r="E213" s="805">
        <v>5865.4449999999997</v>
      </c>
      <c r="F213" s="805">
        <v>0</v>
      </c>
      <c r="G213" s="805">
        <v>0</v>
      </c>
      <c r="H213" s="805">
        <v>0</v>
      </c>
      <c r="I213" s="805">
        <v>0</v>
      </c>
      <c r="J213" s="805">
        <v>0</v>
      </c>
      <c r="K213" s="805">
        <v>0</v>
      </c>
      <c r="L213" s="805">
        <v>0</v>
      </c>
      <c r="M213" s="805">
        <v>0</v>
      </c>
      <c r="N213" s="805">
        <v>5840.12</v>
      </c>
      <c r="O213" s="576">
        <v>25.324999999999818</v>
      </c>
      <c r="P213" s="576"/>
      <c r="Q213" s="576">
        <v>25.324999999999818</v>
      </c>
    </row>
    <row r="214" spans="1:17" ht="16.5">
      <c r="A214" s="197">
        <v>4</v>
      </c>
      <c r="B214" s="826" t="s">
        <v>1273</v>
      </c>
      <c r="C214" s="805">
        <v>0</v>
      </c>
      <c r="D214" s="807">
        <v>1766.8</v>
      </c>
      <c r="E214" s="805">
        <v>1766.8</v>
      </c>
      <c r="F214" s="805">
        <v>0</v>
      </c>
      <c r="G214" s="805">
        <v>0</v>
      </c>
      <c r="H214" s="805">
        <v>0</v>
      </c>
      <c r="I214" s="805">
        <v>0</v>
      </c>
      <c r="J214" s="805">
        <v>0</v>
      </c>
      <c r="K214" s="805">
        <v>0</v>
      </c>
      <c r="L214" s="805">
        <v>0</v>
      </c>
      <c r="M214" s="805">
        <v>0</v>
      </c>
      <c r="N214" s="805">
        <v>1744.45</v>
      </c>
      <c r="O214" s="576">
        <v>22.349999999999909</v>
      </c>
      <c r="P214" s="576"/>
      <c r="Q214" s="576">
        <v>22.349999999999909</v>
      </c>
    </row>
    <row r="215" spans="1:17">
      <c r="A215" s="197">
        <v>5</v>
      </c>
      <c r="B215" s="829" t="s">
        <v>1275</v>
      </c>
      <c r="C215" s="805">
        <v>0</v>
      </c>
      <c r="D215" s="807">
        <v>14.775</v>
      </c>
      <c r="E215" s="805">
        <v>14.775</v>
      </c>
      <c r="F215" s="805">
        <v>0</v>
      </c>
      <c r="G215" s="805">
        <v>0</v>
      </c>
      <c r="H215" s="805">
        <v>0</v>
      </c>
      <c r="I215" s="805">
        <v>0</v>
      </c>
      <c r="J215" s="805">
        <v>0</v>
      </c>
      <c r="K215" s="805">
        <v>0</v>
      </c>
      <c r="L215" s="805">
        <v>0</v>
      </c>
      <c r="M215" s="805">
        <v>0</v>
      </c>
      <c r="N215" s="805">
        <v>14.775</v>
      </c>
      <c r="O215" s="576">
        <v>0</v>
      </c>
      <c r="P215" s="576"/>
      <c r="Q215" s="576">
        <v>0</v>
      </c>
    </row>
    <row r="216" spans="1:17">
      <c r="A216" s="197">
        <v>6</v>
      </c>
      <c r="B216" s="829" t="s">
        <v>1276</v>
      </c>
      <c r="C216" s="805">
        <v>0</v>
      </c>
      <c r="D216" s="807">
        <v>3.7250000000000001</v>
      </c>
      <c r="E216" s="805">
        <v>3.7250000000000001</v>
      </c>
      <c r="F216" s="805">
        <v>0</v>
      </c>
      <c r="G216" s="805">
        <v>0</v>
      </c>
      <c r="H216" s="805">
        <v>0</v>
      </c>
      <c r="I216" s="805">
        <v>0</v>
      </c>
      <c r="J216" s="805">
        <v>0</v>
      </c>
      <c r="K216" s="805">
        <v>0</v>
      </c>
      <c r="L216" s="805">
        <v>0</v>
      </c>
      <c r="M216" s="805">
        <v>0</v>
      </c>
      <c r="N216" s="805">
        <v>3.7250000000000001</v>
      </c>
      <c r="O216" s="576">
        <v>0</v>
      </c>
      <c r="P216" s="576"/>
      <c r="Q216" s="576">
        <v>0</v>
      </c>
    </row>
    <row r="217" spans="1:17" ht="16.5">
      <c r="A217" s="197">
        <v>7</v>
      </c>
      <c r="B217" s="826" t="s">
        <v>1278</v>
      </c>
      <c r="C217" s="805">
        <v>0</v>
      </c>
      <c r="D217" s="807">
        <v>3.6</v>
      </c>
      <c r="E217" s="805">
        <v>3.6</v>
      </c>
      <c r="F217" s="805">
        <v>0</v>
      </c>
      <c r="G217" s="805">
        <v>0</v>
      </c>
      <c r="H217" s="805">
        <v>0</v>
      </c>
      <c r="I217" s="805">
        <v>0</v>
      </c>
      <c r="J217" s="805">
        <v>0</v>
      </c>
      <c r="K217" s="805">
        <v>0</v>
      </c>
      <c r="L217" s="805">
        <v>0</v>
      </c>
      <c r="M217" s="805">
        <v>0</v>
      </c>
      <c r="N217" s="805">
        <v>3.6</v>
      </c>
      <c r="O217" s="576">
        <v>0</v>
      </c>
      <c r="P217" s="576"/>
      <c r="Q217" s="576">
        <v>0</v>
      </c>
    </row>
    <row r="218" spans="1:17">
      <c r="A218" s="197">
        <v>8</v>
      </c>
      <c r="B218" s="829" t="s">
        <v>1281</v>
      </c>
      <c r="C218" s="805">
        <v>0</v>
      </c>
      <c r="D218" s="807">
        <v>2632.05</v>
      </c>
      <c r="E218" s="805">
        <v>2632.05</v>
      </c>
      <c r="F218" s="805">
        <v>0</v>
      </c>
      <c r="G218" s="805">
        <v>0</v>
      </c>
      <c r="H218" s="805">
        <v>0</v>
      </c>
      <c r="I218" s="805">
        <v>0</v>
      </c>
      <c r="J218" s="805">
        <v>0</v>
      </c>
      <c r="K218" s="805">
        <v>0</v>
      </c>
      <c r="L218" s="805">
        <v>0</v>
      </c>
      <c r="M218" s="805">
        <v>0</v>
      </c>
      <c r="N218" s="805">
        <v>2566.25</v>
      </c>
      <c r="O218" s="576">
        <v>65.800000000000182</v>
      </c>
      <c r="P218" s="576"/>
      <c r="Q218" s="576">
        <v>65.800000000000182</v>
      </c>
    </row>
    <row r="219" spans="1:17">
      <c r="A219" s="197">
        <v>9</v>
      </c>
      <c r="B219" s="829" t="s">
        <v>1282</v>
      </c>
      <c r="C219" s="805">
        <v>0</v>
      </c>
      <c r="D219" s="807">
        <v>3.6</v>
      </c>
      <c r="E219" s="805">
        <v>3.6</v>
      </c>
      <c r="F219" s="805">
        <v>0</v>
      </c>
      <c r="G219" s="805">
        <v>0</v>
      </c>
      <c r="H219" s="805">
        <v>0</v>
      </c>
      <c r="I219" s="805">
        <v>0</v>
      </c>
      <c r="J219" s="805">
        <v>0</v>
      </c>
      <c r="K219" s="805">
        <v>0</v>
      </c>
      <c r="L219" s="805">
        <v>0</v>
      </c>
      <c r="M219" s="805">
        <v>0</v>
      </c>
      <c r="N219" s="805">
        <v>3.6</v>
      </c>
      <c r="O219" s="576">
        <v>0</v>
      </c>
      <c r="P219" s="576"/>
      <c r="Q219" s="576">
        <v>0</v>
      </c>
    </row>
    <row r="220" spans="1:17">
      <c r="A220" s="197">
        <v>10</v>
      </c>
      <c r="B220" s="829" t="s">
        <v>1283</v>
      </c>
      <c r="C220" s="805">
        <v>0</v>
      </c>
      <c r="D220" s="807">
        <v>3.6</v>
      </c>
      <c r="E220" s="805">
        <v>3.6</v>
      </c>
      <c r="F220" s="805">
        <v>0</v>
      </c>
      <c r="G220" s="805">
        <v>0</v>
      </c>
      <c r="H220" s="805">
        <v>0</v>
      </c>
      <c r="I220" s="805">
        <v>0</v>
      </c>
      <c r="J220" s="805">
        <v>0</v>
      </c>
      <c r="K220" s="805">
        <v>0</v>
      </c>
      <c r="L220" s="805">
        <v>0</v>
      </c>
      <c r="M220" s="805">
        <v>0</v>
      </c>
      <c r="N220" s="805">
        <v>3.6</v>
      </c>
      <c r="O220" s="576">
        <v>0</v>
      </c>
      <c r="P220" s="576"/>
      <c r="Q220" s="576">
        <v>0</v>
      </c>
    </row>
    <row r="221" spans="1:17">
      <c r="A221" s="197">
        <v>11</v>
      </c>
      <c r="B221" s="829" t="s">
        <v>1284</v>
      </c>
      <c r="C221" s="805">
        <v>0</v>
      </c>
      <c r="D221" s="807">
        <v>3.7250000000000001</v>
      </c>
      <c r="E221" s="805">
        <v>3.7250000000000001</v>
      </c>
      <c r="F221" s="805">
        <v>0</v>
      </c>
      <c r="G221" s="805">
        <v>0</v>
      </c>
      <c r="H221" s="805">
        <v>0</v>
      </c>
      <c r="I221" s="805">
        <v>0</v>
      </c>
      <c r="J221" s="805">
        <v>0</v>
      </c>
      <c r="K221" s="805">
        <v>0</v>
      </c>
      <c r="L221" s="805">
        <v>0</v>
      </c>
      <c r="M221" s="805">
        <v>0</v>
      </c>
      <c r="N221" s="805">
        <v>3.7250000000000001</v>
      </c>
      <c r="O221" s="576">
        <v>0</v>
      </c>
      <c r="P221" s="576"/>
      <c r="Q221" s="576">
        <v>0</v>
      </c>
    </row>
    <row r="222" spans="1:17">
      <c r="A222" s="197">
        <v>12</v>
      </c>
      <c r="B222" s="829" t="s">
        <v>1285</v>
      </c>
      <c r="C222" s="805">
        <v>0</v>
      </c>
      <c r="D222" s="807">
        <v>426.09500000000003</v>
      </c>
      <c r="E222" s="805">
        <v>426.09500000000003</v>
      </c>
      <c r="F222" s="805">
        <v>0</v>
      </c>
      <c r="G222" s="805">
        <v>0</v>
      </c>
      <c r="H222" s="805">
        <v>0</v>
      </c>
      <c r="I222" s="805">
        <v>0</v>
      </c>
      <c r="J222" s="805">
        <v>0</v>
      </c>
      <c r="K222" s="805">
        <v>0</v>
      </c>
      <c r="L222" s="805">
        <v>0</v>
      </c>
      <c r="M222" s="805">
        <v>0</v>
      </c>
      <c r="N222" s="805">
        <v>415.04500000000002</v>
      </c>
      <c r="O222" s="576">
        <v>11.050000000000011</v>
      </c>
      <c r="P222" s="576"/>
      <c r="Q222" s="576">
        <v>11.050000000000011</v>
      </c>
    </row>
    <row r="223" spans="1:17">
      <c r="A223" s="197">
        <v>13</v>
      </c>
      <c r="B223" s="829" t="s">
        <v>1286</v>
      </c>
      <c r="C223" s="805">
        <v>0</v>
      </c>
      <c r="D223" s="807">
        <v>1250.2249999999999</v>
      </c>
      <c r="E223" s="805">
        <v>1250.2249999999999</v>
      </c>
      <c r="F223" s="805">
        <v>0</v>
      </c>
      <c r="G223" s="805">
        <v>0</v>
      </c>
      <c r="H223" s="805">
        <v>0</v>
      </c>
      <c r="I223" s="805">
        <v>0</v>
      </c>
      <c r="J223" s="805">
        <v>0</v>
      </c>
      <c r="K223" s="805">
        <v>0</v>
      </c>
      <c r="L223" s="805">
        <v>0</v>
      </c>
      <c r="M223" s="805">
        <v>0</v>
      </c>
      <c r="N223" s="805">
        <v>1232.2249999999999</v>
      </c>
      <c r="O223" s="576">
        <v>18</v>
      </c>
      <c r="P223" s="576"/>
      <c r="Q223" s="576">
        <v>18</v>
      </c>
    </row>
    <row r="224" spans="1:17">
      <c r="A224" s="197">
        <v>14</v>
      </c>
      <c r="B224" s="829" t="s">
        <v>1287</v>
      </c>
      <c r="C224" s="805">
        <v>0</v>
      </c>
      <c r="D224" s="807">
        <v>29.3</v>
      </c>
      <c r="E224" s="805">
        <v>29.3</v>
      </c>
      <c r="F224" s="805">
        <v>0</v>
      </c>
      <c r="G224" s="805">
        <v>0</v>
      </c>
      <c r="H224" s="805">
        <v>0</v>
      </c>
      <c r="I224" s="805">
        <v>0</v>
      </c>
      <c r="J224" s="805">
        <v>0</v>
      </c>
      <c r="K224" s="805">
        <v>0</v>
      </c>
      <c r="L224" s="805">
        <v>0</v>
      </c>
      <c r="M224" s="805">
        <v>0</v>
      </c>
      <c r="N224" s="805">
        <v>29.3</v>
      </c>
      <c r="O224" s="576">
        <v>0</v>
      </c>
      <c r="P224" s="576"/>
      <c r="Q224" s="576">
        <v>0</v>
      </c>
    </row>
    <row r="225" spans="1:17">
      <c r="A225" s="197">
        <v>15</v>
      </c>
      <c r="B225" s="829" t="s">
        <v>1288</v>
      </c>
      <c r="C225" s="805">
        <v>0</v>
      </c>
      <c r="D225" s="807">
        <v>6.7050000000000001</v>
      </c>
      <c r="E225" s="805">
        <v>6.7050000000000001</v>
      </c>
      <c r="F225" s="805">
        <v>0</v>
      </c>
      <c r="G225" s="805">
        <v>0</v>
      </c>
      <c r="H225" s="805">
        <v>0</v>
      </c>
      <c r="I225" s="805">
        <v>0</v>
      </c>
      <c r="J225" s="805">
        <v>0</v>
      </c>
      <c r="K225" s="805">
        <v>0</v>
      </c>
      <c r="L225" s="805">
        <v>0</v>
      </c>
      <c r="M225" s="805">
        <v>0</v>
      </c>
      <c r="N225" s="805">
        <v>6.7050000000000001</v>
      </c>
      <c r="O225" s="576">
        <v>0</v>
      </c>
      <c r="P225" s="576"/>
      <c r="Q225" s="576">
        <v>0</v>
      </c>
    </row>
    <row r="226" spans="1:17">
      <c r="A226" s="197">
        <v>16</v>
      </c>
      <c r="B226" s="829" t="s">
        <v>1293</v>
      </c>
      <c r="C226" s="805">
        <v>0</v>
      </c>
      <c r="D226" s="807">
        <v>3.6</v>
      </c>
      <c r="E226" s="805">
        <v>3.6</v>
      </c>
      <c r="F226" s="805">
        <v>0</v>
      </c>
      <c r="G226" s="805">
        <v>0</v>
      </c>
      <c r="H226" s="805">
        <v>0</v>
      </c>
      <c r="I226" s="805">
        <v>0</v>
      </c>
      <c r="J226" s="805">
        <v>0</v>
      </c>
      <c r="K226" s="805">
        <v>0</v>
      </c>
      <c r="L226" s="805">
        <v>0</v>
      </c>
      <c r="M226" s="805">
        <v>0</v>
      </c>
      <c r="N226" s="805">
        <v>3.6</v>
      </c>
      <c r="O226" s="576">
        <v>0</v>
      </c>
      <c r="P226" s="576"/>
      <c r="Q226" s="576">
        <v>0</v>
      </c>
    </row>
    <row r="227" spans="1:17">
      <c r="A227" s="197">
        <v>17</v>
      </c>
      <c r="B227" s="829" t="s">
        <v>1298</v>
      </c>
      <c r="C227" s="805">
        <v>0</v>
      </c>
      <c r="D227" s="807">
        <v>14.65</v>
      </c>
      <c r="E227" s="805">
        <v>14.65</v>
      </c>
      <c r="F227" s="805">
        <v>0</v>
      </c>
      <c r="G227" s="805">
        <v>0</v>
      </c>
      <c r="H227" s="805">
        <v>0</v>
      </c>
      <c r="I227" s="805">
        <v>0</v>
      </c>
      <c r="J227" s="805">
        <v>0</v>
      </c>
      <c r="K227" s="805">
        <v>0</v>
      </c>
      <c r="L227" s="805">
        <v>0</v>
      </c>
      <c r="M227" s="805">
        <v>0</v>
      </c>
      <c r="N227" s="805">
        <v>14.65</v>
      </c>
      <c r="O227" s="576">
        <v>0</v>
      </c>
      <c r="P227" s="576"/>
      <c r="Q227" s="576">
        <v>0</v>
      </c>
    </row>
    <row r="228" spans="1:17">
      <c r="A228" s="197">
        <v>18</v>
      </c>
      <c r="B228" s="829" t="s">
        <v>1299</v>
      </c>
      <c r="C228" s="805">
        <v>0</v>
      </c>
      <c r="D228" s="807">
        <v>3.7250000000000001</v>
      </c>
      <c r="E228" s="805">
        <v>3.7250000000000001</v>
      </c>
      <c r="F228" s="805">
        <v>0</v>
      </c>
      <c r="G228" s="805">
        <v>0</v>
      </c>
      <c r="H228" s="805">
        <v>0</v>
      </c>
      <c r="I228" s="805">
        <v>0</v>
      </c>
      <c r="J228" s="805">
        <v>0</v>
      </c>
      <c r="K228" s="805">
        <v>0</v>
      </c>
      <c r="L228" s="805">
        <v>0</v>
      </c>
      <c r="M228" s="805">
        <v>0</v>
      </c>
      <c r="N228" s="805">
        <v>3.7250000000000001</v>
      </c>
      <c r="O228" s="576">
        <v>0</v>
      </c>
      <c r="P228" s="576"/>
      <c r="Q228" s="576">
        <v>0</v>
      </c>
    </row>
    <row r="229" spans="1:17">
      <c r="A229" s="197">
        <v>19</v>
      </c>
      <c r="B229" s="829" t="s">
        <v>1300</v>
      </c>
      <c r="C229" s="805">
        <v>0</v>
      </c>
      <c r="D229" s="807">
        <v>10.925000000000001</v>
      </c>
      <c r="E229" s="805">
        <v>10.925000000000001</v>
      </c>
      <c r="F229" s="805">
        <v>0</v>
      </c>
      <c r="G229" s="805">
        <v>0</v>
      </c>
      <c r="H229" s="805">
        <v>0</v>
      </c>
      <c r="I229" s="805">
        <v>0</v>
      </c>
      <c r="J229" s="805">
        <v>0</v>
      </c>
      <c r="K229" s="805">
        <v>0</v>
      </c>
      <c r="L229" s="805">
        <v>0</v>
      </c>
      <c r="M229" s="805">
        <v>0</v>
      </c>
      <c r="N229" s="805">
        <v>10.925000000000001</v>
      </c>
      <c r="O229" s="576">
        <v>0</v>
      </c>
      <c r="P229" s="576"/>
      <c r="Q229" s="576">
        <v>0</v>
      </c>
    </row>
    <row r="230" spans="1:17" ht="55.5" customHeight="1">
      <c r="A230" s="187" t="s">
        <v>1816</v>
      </c>
      <c r="B230" s="924" t="s">
        <v>1386</v>
      </c>
      <c r="C230" s="806">
        <v>0</v>
      </c>
      <c r="D230" s="806">
        <v>1267.232</v>
      </c>
      <c r="E230" s="806">
        <v>1267.232</v>
      </c>
      <c r="F230" s="806">
        <v>0</v>
      </c>
      <c r="G230" s="806">
        <v>0</v>
      </c>
      <c r="H230" s="806">
        <v>0</v>
      </c>
      <c r="I230" s="806">
        <v>0</v>
      </c>
      <c r="J230" s="806">
        <v>0</v>
      </c>
      <c r="K230" s="806">
        <v>0</v>
      </c>
      <c r="L230" s="806">
        <v>0</v>
      </c>
      <c r="M230" s="806">
        <v>0</v>
      </c>
      <c r="N230" s="806">
        <v>1260.7720000000002</v>
      </c>
      <c r="O230" s="806">
        <v>6.4600000000000009</v>
      </c>
      <c r="P230" s="806">
        <v>0</v>
      </c>
      <c r="Q230" s="806">
        <v>6.4600000000000009</v>
      </c>
    </row>
    <row r="231" spans="1:17">
      <c r="A231" s="197">
        <v>1</v>
      </c>
      <c r="B231" s="829" t="s">
        <v>1700</v>
      </c>
      <c r="C231" s="805"/>
      <c r="D231" s="807">
        <v>38.36</v>
      </c>
      <c r="E231" s="930">
        <v>38.36</v>
      </c>
      <c r="F231" s="805"/>
      <c r="G231" s="805">
        <v>0</v>
      </c>
      <c r="H231" s="805">
        <v>0</v>
      </c>
      <c r="I231" s="805">
        <v>0</v>
      </c>
      <c r="J231" s="805">
        <v>0</v>
      </c>
      <c r="K231" s="805">
        <v>0</v>
      </c>
      <c r="L231" s="805">
        <v>0</v>
      </c>
      <c r="M231" s="805">
        <v>0</v>
      </c>
      <c r="N231" s="805">
        <v>38.36</v>
      </c>
      <c r="O231" s="576">
        <v>0</v>
      </c>
      <c r="P231" s="805"/>
      <c r="Q231" s="805"/>
    </row>
    <row r="232" spans="1:17">
      <c r="A232" s="197">
        <v>3</v>
      </c>
      <c r="B232" s="829" t="s">
        <v>1701</v>
      </c>
      <c r="C232" s="805"/>
      <c r="D232" s="807">
        <v>25.44</v>
      </c>
      <c r="E232" s="930">
        <v>25.44</v>
      </c>
      <c r="F232" s="805"/>
      <c r="G232" s="805">
        <v>0</v>
      </c>
      <c r="H232" s="805">
        <v>0</v>
      </c>
      <c r="I232" s="805">
        <v>0</v>
      </c>
      <c r="J232" s="805">
        <v>0</v>
      </c>
      <c r="K232" s="805">
        <v>0</v>
      </c>
      <c r="L232" s="805">
        <v>0</v>
      </c>
      <c r="M232" s="805">
        <v>0</v>
      </c>
      <c r="N232" s="805">
        <v>25.44</v>
      </c>
      <c r="O232" s="576">
        <v>0</v>
      </c>
      <c r="P232" s="805"/>
      <c r="Q232" s="805"/>
    </row>
    <row r="233" spans="1:17">
      <c r="A233" s="197">
        <v>4</v>
      </c>
      <c r="B233" s="829" t="s">
        <v>1812</v>
      </c>
      <c r="C233" s="805"/>
      <c r="D233" s="807">
        <v>172.22</v>
      </c>
      <c r="E233" s="930">
        <v>172.22</v>
      </c>
      <c r="F233" s="805"/>
      <c r="G233" s="805">
        <v>0</v>
      </c>
      <c r="H233" s="805">
        <v>0</v>
      </c>
      <c r="I233" s="805">
        <v>0</v>
      </c>
      <c r="J233" s="805">
        <v>0</v>
      </c>
      <c r="K233" s="805">
        <v>0</v>
      </c>
      <c r="L233" s="805">
        <v>0</v>
      </c>
      <c r="M233" s="805">
        <v>0</v>
      </c>
      <c r="N233" s="805">
        <v>172.22</v>
      </c>
      <c r="O233" s="576">
        <v>0</v>
      </c>
      <c r="P233" s="805"/>
      <c r="Q233" s="805"/>
    </row>
    <row r="234" spans="1:17" ht="16.5">
      <c r="A234" s="197">
        <v>5</v>
      </c>
      <c r="B234" s="826" t="s">
        <v>1273</v>
      </c>
      <c r="C234" s="805"/>
      <c r="D234" s="807">
        <v>87.055999999999997</v>
      </c>
      <c r="E234" s="930">
        <v>87.055999999999997</v>
      </c>
      <c r="F234" s="805"/>
      <c r="G234" s="805">
        <v>0</v>
      </c>
      <c r="H234" s="805">
        <v>0</v>
      </c>
      <c r="I234" s="805">
        <v>0</v>
      </c>
      <c r="J234" s="805">
        <v>0</v>
      </c>
      <c r="K234" s="805">
        <v>0</v>
      </c>
      <c r="L234" s="805">
        <v>0</v>
      </c>
      <c r="M234" s="805">
        <v>0</v>
      </c>
      <c r="N234" s="805">
        <v>87.055999999999997</v>
      </c>
      <c r="O234" s="576">
        <v>0</v>
      </c>
      <c r="P234" s="805"/>
      <c r="Q234" s="805"/>
    </row>
    <row r="235" spans="1:17">
      <c r="A235" s="197">
        <v>6</v>
      </c>
      <c r="B235" s="829" t="s">
        <v>1290</v>
      </c>
      <c r="C235" s="805"/>
      <c r="D235" s="807">
        <v>25.24</v>
      </c>
      <c r="E235" s="930">
        <v>25.24</v>
      </c>
      <c r="F235" s="805"/>
      <c r="G235" s="805">
        <v>0</v>
      </c>
      <c r="H235" s="805">
        <v>0</v>
      </c>
      <c r="I235" s="805">
        <v>0</v>
      </c>
      <c r="J235" s="805">
        <v>0</v>
      </c>
      <c r="K235" s="805">
        <v>0</v>
      </c>
      <c r="L235" s="805">
        <v>0</v>
      </c>
      <c r="M235" s="805">
        <v>0</v>
      </c>
      <c r="N235" s="805">
        <v>25.24</v>
      </c>
      <c r="O235" s="576">
        <v>0</v>
      </c>
      <c r="P235" s="805"/>
      <c r="Q235" s="805"/>
    </row>
    <row r="236" spans="1:17">
      <c r="A236" s="197">
        <v>7</v>
      </c>
      <c r="B236" s="829" t="s">
        <v>1275</v>
      </c>
      <c r="C236" s="805"/>
      <c r="D236" s="807">
        <v>54.956000000000003</v>
      </c>
      <c r="E236" s="930">
        <v>54.956000000000003</v>
      </c>
      <c r="F236" s="805"/>
      <c r="G236" s="805">
        <v>0</v>
      </c>
      <c r="H236" s="805">
        <v>0</v>
      </c>
      <c r="I236" s="805">
        <v>0</v>
      </c>
      <c r="J236" s="805">
        <v>0</v>
      </c>
      <c r="K236" s="805">
        <v>0</v>
      </c>
      <c r="L236" s="805">
        <v>0</v>
      </c>
      <c r="M236" s="805">
        <v>0</v>
      </c>
      <c r="N236" s="805">
        <v>54.956000000000003</v>
      </c>
      <c r="O236" s="576">
        <v>0</v>
      </c>
      <c r="P236" s="805"/>
      <c r="Q236" s="805"/>
    </row>
    <row r="237" spans="1:17">
      <c r="A237" s="197">
        <v>8</v>
      </c>
      <c r="B237" s="829" t="s">
        <v>1276</v>
      </c>
      <c r="C237" s="805"/>
      <c r="D237" s="807">
        <v>18.98</v>
      </c>
      <c r="E237" s="930">
        <v>18.98</v>
      </c>
      <c r="F237" s="805"/>
      <c r="G237" s="805">
        <v>0</v>
      </c>
      <c r="H237" s="805">
        <v>0</v>
      </c>
      <c r="I237" s="805">
        <v>0</v>
      </c>
      <c r="J237" s="805">
        <v>0</v>
      </c>
      <c r="K237" s="805">
        <v>0</v>
      </c>
      <c r="L237" s="805">
        <v>0</v>
      </c>
      <c r="M237" s="805">
        <v>0</v>
      </c>
      <c r="N237" s="805">
        <v>18.98</v>
      </c>
      <c r="O237" s="576">
        <v>0</v>
      </c>
      <c r="P237" s="805"/>
      <c r="Q237" s="805"/>
    </row>
    <row r="238" spans="1:17">
      <c r="A238" s="197">
        <v>9</v>
      </c>
      <c r="B238" s="829" t="s">
        <v>1277</v>
      </c>
      <c r="C238" s="805"/>
      <c r="D238" s="807">
        <v>6.46</v>
      </c>
      <c r="E238" s="930">
        <v>6.46</v>
      </c>
      <c r="F238" s="805"/>
      <c r="G238" s="805">
        <v>0</v>
      </c>
      <c r="H238" s="805">
        <v>0</v>
      </c>
      <c r="I238" s="805">
        <v>0</v>
      </c>
      <c r="J238" s="805">
        <v>0</v>
      </c>
      <c r="K238" s="805">
        <v>0</v>
      </c>
      <c r="L238" s="805">
        <v>0</v>
      </c>
      <c r="M238" s="805">
        <v>0</v>
      </c>
      <c r="N238" s="805">
        <v>6.46</v>
      </c>
      <c r="O238" s="576">
        <v>0</v>
      </c>
      <c r="P238" s="805"/>
      <c r="Q238" s="805"/>
    </row>
    <row r="239" spans="1:17">
      <c r="A239" s="197">
        <v>10</v>
      </c>
      <c r="B239" s="829" t="s">
        <v>1280</v>
      </c>
      <c r="C239" s="805"/>
      <c r="D239" s="807">
        <v>12.72</v>
      </c>
      <c r="E239" s="930">
        <v>12.72</v>
      </c>
      <c r="F239" s="805"/>
      <c r="G239" s="805">
        <v>0</v>
      </c>
      <c r="H239" s="805">
        <v>0</v>
      </c>
      <c r="I239" s="805">
        <v>0</v>
      </c>
      <c r="J239" s="805">
        <v>0</v>
      </c>
      <c r="K239" s="805">
        <v>0</v>
      </c>
      <c r="L239" s="805">
        <v>0</v>
      </c>
      <c r="M239" s="805">
        <v>0</v>
      </c>
      <c r="N239" s="805">
        <v>12.72</v>
      </c>
      <c r="O239" s="576">
        <v>0</v>
      </c>
      <c r="P239" s="805"/>
      <c r="Q239" s="805"/>
    </row>
    <row r="240" spans="1:17">
      <c r="A240" s="197">
        <v>11</v>
      </c>
      <c r="B240" s="829" t="s">
        <v>1281</v>
      </c>
      <c r="C240" s="805"/>
      <c r="D240" s="807">
        <v>63.6</v>
      </c>
      <c r="E240" s="930">
        <v>63.6</v>
      </c>
      <c r="F240" s="805"/>
      <c r="G240" s="805">
        <v>0</v>
      </c>
      <c r="H240" s="805">
        <v>0</v>
      </c>
      <c r="I240" s="805">
        <v>0</v>
      </c>
      <c r="J240" s="805">
        <v>0</v>
      </c>
      <c r="K240" s="805">
        <v>0</v>
      </c>
      <c r="L240" s="805">
        <v>0</v>
      </c>
      <c r="M240" s="805">
        <v>0</v>
      </c>
      <c r="N240" s="805">
        <v>63.6</v>
      </c>
      <c r="O240" s="576">
        <v>0</v>
      </c>
      <c r="P240" s="805"/>
      <c r="Q240" s="805"/>
    </row>
    <row r="241" spans="1:17">
      <c r="A241" s="197">
        <v>12</v>
      </c>
      <c r="B241" s="829" t="s">
        <v>1283</v>
      </c>
      <c r="C241" s="805"/>
      <c r="D241" s="807">
        <v>31.7</v>
      </c>
      <c r="E241" s="930">
        <v>31.7</v>
      </c>
      <c r="F241" s="805"/>
      <c r="G241" s="805">
        <v>0</v>
      </c>
      <c r="H241" s="805">
        <v>0</v>
      </c>
      <c r="I241" s="805">
        <v>0</v>
      </c>
      <c r="J241" s="805">
        <v>0</v>
      </c>
      <c r="K241" s="805">
        <v>0</v>
      </c>
      <c r="L241" s="805">
        <v>0</v>
      </c>
      <c r="M241" s="805">
        <v>0</v>
      </c>
      <c r="N241" s="805">
        <v>31.7</v>
      </c>
      <c r="O241" s="576">
        <v>0</v>
      </c>
      <c r="P241" s="805"/>
      <c r="Q241" s="805"/>
    </row>
    <row r="242" spans="1:17">
      <c r="A242" s="197">
        <v>13</v>
      </c>
      <c r="B242" s="829" t="s">
        <v>1285</v>
      </c>
      <c r="C242" s="805"/>
      <c r="D242" s="807">
        <v>44.42</v>
      </c>
      <c r="E242" s="930">
        <v>44.42</v>
      </c>
      <c r="F242" s="805"/>
      <c r="G242" s="805">
        <v>0</v>
      </c>
      <c r="H242" s="805">
        <v>0</v>
      </c>
      <c r="I242" s="805">
        <v>0</v>
      </c>
      <c r="J242" s="805">
        <v>0</v>
      </c>
      <c r="K242" s="805">
        <v>0</v>
      </c>
      <c r="L242" s="805">
        <v>0</v>
      </c>
      <c r="M242" s="805">
        <v>0</v>
      </c>
      <c r="N242" s="805">
        <v>37.96</v>
      </c>
      <c r="O242" s="576">
        <v>6.4600000000000009</v>
      </c>
      <c r="P242" s="805"/>
      <c r="Q242" s="805">
        <v>6.4600000000000009</v>
      </c>
    </row>
    <row r="243" spans="1:17">
      <c r="A243" s="197">
        <v>14</v>
      </c>
      <c r="B243" s="829" t="s">
        <v>1286</v>
      </c>
      <c r="C243" s="805"/>
      <c r="D243" s="807">
        <v>44.62</v>
      </c>
      <c r="E243" s="930">
        <v>44.62</v>
      </c>
      <c r="F243" s="805"/>
      <c r="G243" s="805">
        <v>0</v>
      </c>
      <c r="H243" s="805">
        <v>0</v>
      </c>
      <c r="I243" s="805">
        <v>0</v>
      </c>
      <c r="J243" s="805">
        <v>0</v>
      </c>
      <c r="K243" s="805">
        <v>0</v>
      </c>
      <c r="L243" s="805">
        <v>0</v>
      </c>
      <c r="M243" s="805">
        <v>0</v>
      </c>
      <c r="N243" s="805">
        <v>44.62</v>
      </c>
      <c r="O243" s="576">
        <v>0</v>
      </c>
      <c r="P243" s="805"/>
      <c r="Q243" s="805"/>
    </row>
    <row r="244" spans="1:17">
      <c r="A244" s="197">
        <v>15</v>
      </c>
      <c r="B244" s="829" t="s">
        <v>1287</v>
      </c>
      <c r="C244" s="805"/>
      <c r="D244" s="807">
        <v>12.72</v>
      </c>
      <c r="E244" s="930">
        <v>12.72</v>
      </c>
      <c r="F244" s="805"/>
      <c r="G244" s="805">
        <v>0</v>
      </c>
      <c r="H244" s="805">
        <v>0</v>
      </c>
      <c r="I244" s="805">
        <v>0</v>
      </c>
      <c r="J244" s="805">
        <v>0</v>
      </c>
      <c r="K244" s="805">
        <v>0</v>
      </c>
      <c r="L244" s="805">
        <v>0</v>
      </c>
      <c r="M244" s="805">
        <v>0</v>
      </c>
      <c r="N244" s="805">
        <v>12.72</v>
      </c>
      <c r="O244" s="576">
        <v>0</v>
      </c>
      <c r="P244" s="805"/>
      <c r="Q244" s="805"/>
    </row>
    <row r="245" spans="1:17">
      <c r="A245" s="197">
        <v>16</v>
      </c>
      <c r="B245" s="829" t="s">
        <v>1294</v>
      </c>
      <c r="C245" s="805"/>
      <c r="D245" s="807">
        <v>12.72</v>
      </c>
      <c r="E245" s="930">
        <v>12.72</v>
      </c>
      <c r="F245" s="805"/>
      <c r="G245" s="805">
        <v>0</v>
      </c>
      <c r="H245" s="805">
        <v>0</v>
      </c>
      <c r="I245" s="805">
        <v>0</v>
      </c>
      <c r="J245" s="805">
        <v>0</v>
      </c>
      <c r="K245" s="805">
        <v>0</v>
      </c>
      <c r="L245" s="805">
        <v>0</v>
      </c>
      <c r="M245" s="805">
        <v>0</v>
      </c>
      <c r="N245" s="805">
        <v>12.72</v>
      </c>
      <c r="O245" s="576">
        <v>0</v>
      </c>
      <c r="P245" s="805"/>
      <c r="Q245" s="805"/>
    </row>
    <row r="246" spans="1:17">
      <c r="A246" s="197">
        <v>17</v>
      </c>
      <c r="B246" s="829" t="s">
        <v>1298</v>
      </c>
      <c r="C246" s="805"/>
      <c r="D246" s="807">
        <v>88.84</v>
      </c>
      <c r="E246" s="930">
        <v>88.84</v>
      </c>
      <c r="F246" s="805"/>
      <c r="G246" s="805">
        <v>0</v>
      </c>
      <c r="H246" s="805">
        <v>0</v>
      </c>
      <c r="I246" s="805">
        <v>0</v>
      </c>
      <c r="J246" s="805">
        <v>0</v>
      </c>
      <c r="K246" s="805">
        <v>0</v>
      </c>
      <c r="L246" s="805">
        <v>0</v>
      </c>
      <c r="M246" s="805">
        <v>0</v>
      </c>
      <c r="N246" s="805">
        <v>88.84</v>
      </c>
      <c r="O246" s="576">
        <v>0</v>
      </c>
      <c r="P246" s="805"/>
      <c r="Q246" s="805"/>
    </row>
    <row r="247" spans="1:17">
      <c r="A247" s="197">
        <v>18</v>
      </c>
      <c r="B247" s="829" t="s">
        <v>1300</v>
      </c>
      <c r="C247" s="805"/>
      <c r="D247" s="807">
        <v>44.42</v>
      </c>
      <c r="E247" s="930">
        <v>44.42</v>
      </c>
      <c r="F247" s="805"/>
      <c r="G247" s="805">
        <v>0</v>
      </c>
      <c r="H247" s="805">
        <v>0</v>
      </c>
      <c r="I247" s="805">
        <v>0</v>
      </c>
      <c r="J247" s="805">
        <v>0</v>
      </c>
      <c r="K247" s="805">
        <v>0</v>
      </c>
      <c r="L247" s="805">
        <v>0</v>
      </c>
      <c r="M247" s="805">
        <v>0</v>
      </c>
      <c r="N247" s="805">
        <v>44.42</v>
      </c>
      <c r="O247" s="576">
        <v>0</v>
      </c>
      <c r="P247" s="805"/>
      <c r="Q247" s="805"/>
    </row>
    <row r="248" spans="1:17">
      <c r="A248" s="197">
        <v>19</v>
      </c>
      <c r="B248" s="827" t="s">
        <v>1381</v>
      </c>
      <c r="C248" s="805"/>
      <c r="D248" s="807">
        <v>482.76</v>
      </c>
      <c r="E248" s="930">
        <v>482.76</v>
      </c>
      <c r="F248" s="805"/>
      <c r="G248" s="805">
        <v>0</v>
      </c>
      <c r="H248" s="805">
        <v>0</v>
      </c>
      <c r="I248" s="805">
        <v>0</v>
      </c>
      <c r="J248" s="805">
        <v>0</v>
      </c>
      <c r="K248" s="805">
        <v>0</v>
      </c>
      <c r="L248" s="805">
        <v>0</v>
      </c>
      <c r="M248" s="805">
        <v>0</v>
      </c>
      <c r="N248" s="805">
        <v>482.76</v>
      </c>
      <c r="O248" s="576">
        <v>0</v>
      </c>
      <c r="P248" s="805"/>
      <c r="Q248" s="805"/>
    </row>
    <row r="249" spans="1:17" ht="47.25">
      <c r="A249" s="187" t="s">
        <v>1817</v>
      </c>
      <c r="B249" s="535" t="s">
        <v>1925</v>
      </c>
      <c r="C249" s="786">
        <v>0</v>
      </c>
      <c r="D249" s="786">
        <v>438.06</v>
      </c>
      <c r="E249" s="786">
        <v>438.06</v>
      </c>
      <c r="F249" s="786">
        <v>0</v>
      </c>
      <c r="G249" s="786">
        <v>0</v>
      </c>
      <c r="H249" s="786">
        <v>0</v>
      </c>
      <c r="I249" s="786">
        <v>0</v>
      </c>
      <c r="J249" s="786">
        <v>0</v>
      </c>
      <c r="K249" s="786">
        <v>0</v>
      </c>
      <c r="L249" s="786">
        <v>0</v>
      </c>
      <c r="M249" s="786">
        <v>0</v>
      </c>
      <c r="N249" s="786">
        <v>438.06</v>
      </c>
      <c r="O249" s="786">
        <v>0</v>
      </c>
      <c r="P249" s="786">
        <v>0</v>
      </c>
      <c r="Q249" s="786">
        <v>0</v>
      </c>
    </row>
    <row r="250" spans="1:17">
      <c r="A250" s="197">
        <v>1</v>
      </c>
      <c r="B250" s="770" t="s">
        <v>1305</v>
      </c>
      <c r="C250" s="576"/>
      <c r="D250" s="807">
        <v>384.42</v>
      </c>
      <c r="E250" s="805">
        <v>384.42</v>
      </c>
      <c r="F250" s="805"/>
      <c r="G250" s="805"/>
      <c r="H250" s="805"/>
      <c r="I250" s="805"/>
      <c r="J250" s="805"/>
      <c r="K250" s="805"/>
      <c r="L250" s="805"/>
      <c r="M250" s="805"/>
      <c r="N250" s="805">
        <v>384.42</v>
      </c>
      <c r="O250" s="576">
        <v>0</v>
      </c>
      <c r="P250" s="805"/>
      <c r="Q250" s="805"/>
    </row>
    <row r="251" spans="1:17">
      <c r="A251" s="197">
        <v>2</v>
      </c>
      <c r="B251" s="770" t="s">
        <v>1308</v>
      </c>
      <c r="C251" s="576"/>
      <c r="D251" s="807">
        <v>53.64</v>
      </c>
      <c r="E251" s="805">
        <v>53.64</v>
      </c>
      <c r="F251" s="805"/>
      <c r="G251" s="805"/>
      <c r="H251" s="805"/>
      <c r="I251" s="805"/>
      <c r="J251" s="805"/>
      <c r="K251" s="805"/>
      <c r="L251" s="805"/>
      <c r="M251" s="805"/>
      <c r="N251" s="805">
        <v>53.64</v>
      </c>
      <c r="O251" s="576">
        <v>0</v>
      </c>
      <c r="P251" s="805"/>
      <c r="Q251" s="805"/>
    </row>
    <row r="252" spans="1:17" ht="31.5">
      <c r="A252" s="187" t="s">
        <v>1818</v>
      </c>
      <c r="B252" s="535" t="s">
        <v>1926</v>
      </c>
      <c r="C252" s="786">
        <v>0</v>
      </c>
      <c r="D252" s="786">
        <v>8116.1740000000009</v>
      </c>
      <c r="E252" s="786">
        <v>8116.1740000000009</v>
      </c>
      <c r="F252" s="786">
        <v>0</v>
      </c>
      <c r="G252" s="786">
        <v>0</v>
      </c>
      <c r="H252" s="786">
        <v>0</v>
      </c>
      <c r="I252" s="786">
        <v>0</v>
      </c>
      <c r="J252" s="786">
        <v>0</v>
      </c>
      <c r="K252" s="786">
        <v>0</v>
      </c>
      <c r="L252" s="786">
        <v>0</v>
      </c>
      <c r="M252" s="786">
        <v>0</v>
      </c>
      <c r="N252" s="786">
        <v>8116.1740000000009</v>
      </c>
      <c r="O252" s="786">
        <v>0</v>
      </c>
      <c r="P252" s="786">
        <v>0</v>
      </c>
      <c r="Q252" s="786">
        <v>0</v>
      </c>
    </row>
    <row r="253" spans="1:17" ht="21.75" customHeight="1">
      <c r="A253" s="197"/>
      <c r="B253" s="770" t="s">
        <v>1820</v>
      </c>
      <c r="C253" s="576"/>
      <c r="D253" s="807">
        <v>8116.1740000000009</v>
      </c>
      <c r="E253" s="805">
        <v>8116.1740000000009</v>
      </c>
      <c r="F253" s="805"/>
      <c r="G253" s="805"/>
      <c r="H253" s="805"/>
      <c r="I253" s="805"/>
      <c r="J253" s="805"/>
      <c r="K253" s="805"/>
      <c r="L253" s="805"/>
      <c r="M253" s="805"/>
      <c r="N253" s="805">
        <v>8116.1740000000009</v>
      </c>
      <c r="O253" s="576">
        <v>0</v>
      </c>
      <c r="P253" s="805"/>
      <c r="Q253" s="805"/>
    </row>
    <row r="254" spans="1:17" s="507" customFormat="1" ht="47.25">
      <c r="A254" s="186" t="s">
        <v>1927</v>
      </c>
      <c r="B254" s="767" t="s">
        <v>1928</v>
      </c>
      <c r="C254" s="578">
        <v>29.268000000000001</v>
      </c>
      <c r="D254" s="806">
        <v>8764.0380000000005</v>
      </c>
      <c r="E254" s="806">
        <v>8764.0380000000005</v>
      </c>
      <c r="F254" s="806">
        <v>0</v>
      </c>
      <c r="G254" s="806">
        <v>0</v>
      </c>
      <c r="H254" s="806">
        <v>0</v>
      </c>
      <c r="I254" s="806">
        <v>0</v>
      </c>
      <c r="J254" s="806">
        <v>0</v>
      </c>
      <c r="K254" s="806">
        <v>0</v>
      </c>
      <c r="L254" s="806">
        <v>0</v>
      </c>
      <c r="M254" s="806">
        <v>0</v>
      </c>
      <c r="N254" s="806">
        <v>8793.3060000000005</v>
      </c>
      <c r="O254" s="806">
        <v>0</v>
      </c>
      <c r="P254" s="806">
        <v>0</v>
      </c>
      <c r="Q254" s="806">
        <v>0</v>
      </c>
    </row>
    <row r="255" spans="1:17">
      <c r="A255" s="197"/>
      <c r="B255" s="770" t="s">
        <v>1305</v>
      </c>
      <c r="C255" s="576">
        <v>29.268000000000001</v>
      </c>
      <c r="D255" s="807">
        <v>8764.0380000000005</v>
      </c>
      <c r="E255" s="805">
        <v>8764.0380000000005</v>
      </c>
      <c r="F255" s="805"/>
      <c r="G255" s="805"/>
      <c r="H255" s="805"/>
      <c r="I255" s="805"/>
      <c r="J255" s="805"/>
      <c r="K255" s="805">
        <v>0</v>
      </c>
      <c r="L255" s="805">
        <v>0</v>
      </c>
      <c r="M255" s="805"/>
      <c r="N255" s="805">
        <v>8793.3060000000005</v>
      </c>
      <c r="O255" s="807">
        <v>0</v>
      </c>
      <c r="P255" s="805"/>
      <c r="Q255" s="805"/>
    </row>
    <row r="256" spans="1:17" s="507" customFormat="1" ht="47.25">
      <c r="A256" s="186" t="s">
        <v>2422</v>
      </c>
      <c r="B256" s="831" t="s">
        <v>2423</v>
      </c>
      <c r="C256" s="578"/>
      <c r="D256" s="806">
        <v>5895.9840000000004</v>
      </c>
      <c r="E256" s="806">
        <v>4465</v>
      </c>
      <c r="F256" s="806">
        <v>1430.9839999999999</v>
      </c>
      <c r="G256" s="806">
        <v>0</v>
      </c>
      <c r="H256" s="806">
        <v>0</v>
      </c>
      <c r="I256" s="806">
        <v>0</v>
      </c>
      <c r="J256" s="806">
        <v>0</v>
      </c>
      <c r="K256" s="806">
        <v>0</v>
      </c>
      <c r="L256" s="806">
        <v>0</v>
      </c>
      <c r="M256" s="806">
        <v>0</v>
      </c>
      <c r="N256" s="806">
        <v>5880.3919999999998</v>
      </c>
      <c r="O256" s="806">
        <v>15.592000000000553</v>
      </c>
      <c r="P256" s="806">
        <v>0</v>
      </c>
      <c r="Q256" s="806">
        <v>15.592000000000553</v>
      </c>
    </row>
    <row r="257" spans="1:17">
      <c r="A257" s="197">
        <v>1</v>
      </c>
      <c r="B257" s="828" t="s">
        <v>2420</v>
      </c>
      <c r="C257" s="576"/>
      <c r="D257" s="807">
        <v>5895.9840000000004</v>
      </c>
      <c r="E257" s="576">
        <v>4465</v>
      </c>
      <c r="F257" s="576">
        <v>1430.9839999999999</v>
      </c>
      <c r="G257" s="805"/>
      <c r="H257" s="805"/>
      <c r="I257" s="805"/>
      <c r="J257" s="805"/>
      <c r="K257" s="805"/>
      <c r="L257" s="805"/>
      <c r="M257" s="805"/>
      <c r="N257" s="576">
        <v>5880.3919999999998</v>
      </c>
      <c r="O257" s="807">
        <v>15.592000000000553</v>
      </c>
      <c r="P257" s="805"/>
      <c r="Q257" s="805">
        <v>15.592000000000553</v>
      </c>
    </row>
    <row r="258" spans="1:17">
      <c r="A258" s="766" t="s">
        <v>228</v>
      </c>
      <c r="B258" s="767" t="s">
        <v>1392</v>
      </c>
      <c r="C258" s="578">
        <v>627.736806</v>
      </c>
      <c r="D258" s="578">
        <v>52879.438820000003</v>
      </c>
      <c r="E258" s="578">
        <v>45262.229999999996</v>
      </c>
      <c r="F258" s="578">
        <v>8032.6019999999999</v>
      </c>
      <c r="G258" s="578">
        <v>1596.6280000000002</v>
      </c>
      <c r="H258" s="578">
        <v>31.4</v>
      </c>
      <c r="I258" s="578">
        <v>0</v>
      </c>
      <c r="J258" s="578">
        <v>0</v>
      </c>
      <c r="K258" s="578">
        <v>914.09300000000007</v>
      </c>
      <c r="L258" s="578">
        <v>1091.8049799999999</v>
      </c>
      <c r="M258" s="578">
        <v>37.523200000000003</v>
      </c>
      <c r="N258" s="578">
        <v>48188.032692000001</v>
      </c>
      <c r="O258" s="578">
        <v>5319.1429340000022</v>
      </c>
      <c r="P258" s="578">
        <v>383.51139799999999</v>
      </c>
      <c r="Q258" s="578">
        <v>4935.6315359999999</v>
      </c>
    </row>
    <row r="259" spans="1:17">
      <c r="A259" s="769">
        <v>1</v>
      </c>
      <c r="B259" s="770" t="s">
        <v>1305</v>
      </c>
      <c r="C259" s="805"/>
      <c r="D259" s="807">
        <v>7577.2798200000007</v>
      </c>
      <c r="E259" s="805">
        <v>8463</v>
      </c>
      <c r="F259" s="805">
        <v>234.93299999999999</v>
      </c>
      <c r="G259" s="805"/>
      <c r="H259" s="805"/>
      <c r="I259" s="805"/>
      <c r="J259" s="805"/>
      <c r="K259" s="805">
        <v>604.31500000000005</v>
      </c>
      <c r="L259" s="805">
        <v>478.81497999999999</v>
      </c>
      <c r="M259" s="805">
        <v>37.523200000000003</v>
      </c>
      <c r="N259" s="805">
        <v>7559.6398199999985</v>
      </c>
      <c r="O259" s="576">
        <v>17.640000000002146</v>
      </c>
      <c r="P259" s="805"/>
      <c r="Q259" s="805">
        <v>17.64</v>
      </c>
    </row>
    <row r="260" spans="1:17">
      <c r="A260" s="769">
        <v>2</v>
      </c>
      <c r="B260" s="770" t="s">
        <v>551</v>
      </c>
      <c r="C260" s="576"/>
      <c r="D260" s="805">
        <v>7872</v>
      </c>
      <c r="E260" s="805">
        <v>7771</v>
      </c>
      <c r="F260" s="805"/>
      <c r="G260" s="805">
        <v>101</v>
      </c>
      <c r="H260" s="805"/>
      <c r="I260" s="805"/>
      <c r="J260" s="805"/>
      <c r="K260" s="805"/>
      <c r="L260" s="805"/>
      <c r="M260" s="805"/>
      <c r="N260" s="805">
        <v>7543.0177979999999</v>
      </c>
      <c r="O260" s="576">
        <v>328.98220200000014</v>
      </c>
      <c r="P260" s="805"/>
      <c r="Q260" s="805">
        <v>328.98220199999997</v>
      </c>
    </row>
    <row r="261" spans="1:17">
      <c r="A261" s="769">
        <v>3</v>
      </c>
      <c r="B261" s="770" t="s">
        <v>1702</v>
      </c>
      <c r="C261" s="576"/>
      <c r="D261" s="807">
        <v>0</v>
      </c>
      <c r="E261" s="805"/>
      <c r="F261" s="805"/>
      <c r="G261" s="805"/>
      <c r="H261" s="805"/>
      <c r="I261" s="805"/>
      <c r="J261" s="805"/>
      <c r="K261" s="805"/>
      <c r="L261" s="805"/>
      <c r="M261" s="805"/>
      <c r="N261" s="805"/>
      <c r="O261" s="576">
        <v>0</v>
      </c>
      <c r="P261" s="805"/>
      <c r="Q261" s="805"/>
    </row>
    <row r="262" spans="1:17">
      <c r="A262" s="769">
        <v>4</v>
      </c>
      <c r="B262" s="770" t="s">
        <v>1307</v>
      </c>
      <c r="C262" s="576"/>
      <c r="D262" s="807">
        <v>1579.633</v>
      </c>
      <c r="E262" s="805">
        <v>1512</v>
      </c>
      <c r="F262" s="805">
        <v>67.632999999999996</v>
      </c>
      <c r="G262" s="805"/>
      <c r="H262" s="805"/>
      <c r="I262" s="805"/>
      <c r="J262" s="805"/>
      <c r="K262" s="805"/>
      <c r="L262" s="805"/>
      <c r="M262" s="805"/>
      <c r="N262" s="805">
        <v>1579.633</v>
      </c>
      <c r="O262" s="576">
        <v>0</v>
      </c>
      <c r="P262" s="805"/>
      <c r="Q262" s="805"/>
    </row>
    <row r="263" spans="1:17">
      <c r="A263" s="769">
        <v>5</v>
      </c>
      <c r="B263" s="770" t="s">
        <v>1308</v>
      </c>
      <c r="C263" s="576">
        <v>400</v>
      </c>
      <c r="D263" s="807">
        <v>4352</v>
      </c>
      <c r="E263" s="805">
        <v>4352</v>
      </c>
      <c r="F263" s="805"/>
      <c r="G263" s="805"/>
      <c r="H263" s="805"/>
      <c r="I263" s="805"/>
      <c r="J263" s="805"/>
      <c r="K263" s="805"/>
      <c r="L263" s="805"/>
      <c r="M263" s="805"/>
      <c r="N263" s="805">
        <v>4752</v>
      </c>
      <c r="O263" s="576">
        <v>0</v>
      </c>
      <c r="P263" s="805"/>
      <c r="Q263" s="805"/>
    </row>
    <row r="264" spans="1:17">
      <c r="A264" s="197">
        <v>6</v>
      </c>
      <c r="B264" s="202" t="s">
        <v>1393</v>
      </c>
      <c r="C264" s="805"/>
      <c r="D264" s="807">
        <v>10569</v>
      </c>
      <c r="E264" s="576">
        <v>10569</v>
      </c>
      <c r="F264" s="576"/>
      <c r="G264" s="805"/>
      <c r="H264" s="805"/>
      <c r="I264" s="805"/>
      <c r="J264" s="805"/>
      <c r="K264" s="805"/>
      <c r="L264" s="805"/>
      <c r="M264" s="805"/>
      <c r="N264" s="805">
        <v>10090.4269</v>
      </c>
      <c r="O264" s="576">
        <v>478.57309999999961</v>
      </c>
      <c r="P264" s="805"/>
      <c r="Q264" s="805">
        <v>478.57310000000001</v>
      </c>
    </row>
    <row r="265" spans="1:17">
      <c r="A265" s="769">
        <v>7</v>
      </c>
      <c r="B265" s="770" t="s">
        <v>1309</v>
      </c>
      <c r="C265" s="576"/>
      <c r="D265" s="807">
        <v>2777.6280000000002</v>
      </c>
      <c r="E265" s="805">
        <v>1967</v>
      </c>
      <c r="F265" s="805"/>
      <c r="G265" s="805">
        <v>1060.6280000000002</v>
      </c>
      <c r="H265" s="805"/>
      <c r="I265" s="805"/>
      <c r="J265" s="805"/>
      <c r="K265" s="805">
        <v>250</v>
      </c>
      <c r="L265" s="805"/>
      <c r="M265" s="805"/>
      <c r="N265" s="805">
        <v>2776.1175409999996</v>
      </c>
      <c r="O265" s="576">
        <v>1.5104590000005373</v>
      </c>
      <c r="P265" s="805">
        <v>1.510459</v>
      </c>
      <c r="Q265" s="805"/>
    </row>
    <row r="266" spans="1:17">
      <c r="A266" s="769">
        <v>8</v>
      </c>
      <c r="B266" s="770" t="s">
        <v>1310</v>
      </c>
      <c r="C266" s="576"/>
      <c r="D266" s="807">
        <v>0</v>
      </c>
      <c r="E266" s="805"/>
      <c r="F266" s="805"/>
      <c r="G266" s="805"/>
      <c r="H266" s="805"/>
      <c r="I266" s="805"/>
      <c r="J266" s="805"/>
      <c r="K266" s="805"/>
      <c r="L266" s="805"/>
      <c r="M266" s="805"/>
      <c r="N266" s="805"/>
      <c r="O266" s="576">
        <v>0</v>
      </c>
      <c r="P266" s="805"/>
      <c r="Q266" s="805"/>
    </row>
    <row r="267" spans="1:17">
      <c r="A267" s="769">
        <v>9</v>
      </c>
      <c r="B267" s="770" t="s">
        <v>1819</v>
      </c>
      <c r="C267" s="576">
        <v>227.736806</v>
      </c>
      <c r="D267" s="807">
        <v>4966</v>
      </c>
      <c r="E267" s="805">
        <v>1500</v>
      </c>
      <c r="F267" s="805">
        <v>3384</v>
      </c>
      <c r="G267" s="805">
        <v>82</v>
      </c>
      <c r="H267" s="805"/>
      <c r="I267" s="805"/>
      <c r="J267" s="805"/>
      <c r="K267" s="805"/>
      <c r="L267" s="805"/>
      <c r="M267" s="805"/>
      <c r="N267" s="805">
        <v>4866.8075829999998</v>
      </c>
      <c r="O267" s="576">
        <v>326.92922300000009</v>
      </c>
      <c r="P267" s="805">
        <v>326.92922299999998</v>
      </c>
      <c r="Q267" s="805"/>
    </row>
    <row r="268" spans="1:17">
      <c r="A268" s="769">
        <v>10</v>
      </c>
      <c r="B268" s="770" t="s">
        <v>1394</v>
      </c>
      <c r="C268" s="576"/>
      <c r="D268" s="805">
        <v>2000</v>
      </c>
      <c r="E268" s="805">
        <v>2000</v>
      </c>
      <c r="F268" s="805"/>
      <c r="G268" s="802"/>
      <c r="H268" s="802"/>
      <c r="I268" s="802"/>
      <c r="J268" s="802"/>
      <c r="K268" s="802"/>
      <c r="L268" s="802"/>
      <c r="M268" s="802"/>
      <c r="N268" s="791">
        <v>0</v>
      </c>
      <c r="O268" s="576">
        <v>2000</v>
      </c>
      <c r="P268" s="805"/>
      <c r="Q268" s="805">
        <v>2000</v>
      </c>
    </row>
    <row r="269" spans="1:17" ht="54" customHeight="1">
      <c r="A269" s="769">
        <v>11</v>
      </c>
      <c r="B269" s="770" t="s">
        <v>2265</v>
      </c>
      <c r="C269" s="807">
        <v>0</v>
      </c>
      <c r="D269" s="807">
        <v>0</v>
      </c>
      <c r="E269" s="807">
        <v>0</v>
      </c>
      <c r="F269" s="807">
        <v>0</v>
      </c>
      <c r="G269" s="807">
        <v>0</v>
      </c>
      <c r="H269" s="807">
        <v>0</v>
      </c>
      <c r="I269" s="807">
        <v>0</v>
      </c>
      <c r="J269" s="807">
        <v>0</v>
      </c>
      <c r="K269" s="807">
        <v>0</v>
      </c>
      <c r="L269" s="807">
        <v>0</v>
      </c>
      <c r="M269" s="807"/>
      <c r="N269" s="807">
        <v>0</v>
      </c>
      <c r="O269" s="807">
        <v>0</v>
      </c>
      <c r="P269" s="807">
        <v>0</v>
      </c>
      <c r="Q269" s="807">
        <v>0</v>
      </c>
    </row>
    <row r="270" spans="1:17" s="551" customFormat="1">
      <c r="A270" s="771"/>
      <c r="B270" s="777" t="s">
        <v>1593</v>
      </c>
      <c r="C270" s="791"/>
      <c r="D270" s="808">
        <v>0</v>
      </c>
      <c r="E270" s="791"/>
      <c r="F270" s="791"/>
      <c r="G270" s="802"/>
      <c r="H270" s="802"/>
      <c r="I270" s="802"/>
      <c r="J270" s="802"/>
      <c r="K270" s="802"/>
      <c r="L270" s="802"/>
      <c r="M270" s="802"/>
      <c r="N270" s="791"/>
      <c r="O270" s="579">
        <v>0</v>
      </c>
      <c r="P270" s="802"/>
      <c r="Q270" s="802"/>
    </row>
    <row r="271" spans="1:17" s="551" customFormat="1">
      <c r="A271" s="771"/>
      <c r="B271" s="756" t="s">
        <v>1659</v>
      </c>
      <c r="C271" s="791"/>
      <c r="D271" s="808">
        <v>0</v>
      </c>
      <c r="E271" s="791"/>
      <c r="F271" s="791"/>
      <c r="G271" s="802"/>
      <c r="H271" s="802"/>
      <c r="I271" s="802"/>
      <c r="J271" s="802"/>
      <c r="K271" s="802"/>
      <c r="L271" s="802"/>
      <c r="M271" s="802"/>
      <c r="N271" s="791"/>
      <c r="O271" s="579">
        <v>0</v>
      </c>
      <c r="P271" s="802"/>
      <c r="Q271" s="802"/>
    </row>
    <row r="272" spans="1:17" s="551" customFormat="1">
      <c r="A272" s="771"/>
      <c r="B272" s="756" t="s">
        <v>1820</v>
      </c>
      <c r="C272" s="579"/>
      <c r="D272" s="808">
        <v>0</v>
      </c>
      <c r="E272" s="791"/>
      <c r="F272" s="791"/>
      <c r="G272" s="802"/>
      <c r="H272" s="802"/>
      <c r="I272" s="802"/>
      <c r="J272" s="802"/>
      <c r="K272" s="802"/>
      <c r="L272" s="802"/>
      <c r="M272" s="802"/>
      <c r="N272" s="791"/>
      <c r="O272" s="579">
        <v>0</v>
      </c>
      <c r="P272" s="802"/>
      <c r="Q272" s="802"/>
    </row>
    <row r="273" spans="1:17" s="551" customFormat="1">
      <c r="A273" s="771"/>
      <c r="B273" s="756" t="s">
        <v>1660</v>
      </c>
      <c r="C273" s="791"/>
      <c r="D273" s="808">
        <v>0</v>
      </c>
      <c r="E273" s="805"/>
      <c r="F273" s="805"/>
      <c r="G273" s="802"/>
      <c r="H273" s="802"/>
      <c r="I273" s="802"/>
      <c r="J273" s="802"/>
      <c r="K273" s="802"/>
      <c r="L273" s="802"/>
      <c r="M273" s="802"/>
      <c r="N273" s="791"/>
      <c r="O273" s="579">
        <v>0</v>
      </c>
      <c r="P273" s="802"/>
      <c r="Q273" s="805"/>
    </row>
    <row r="274" spans="1:17" s="551" customFormat="1">
      <c r="A274" s="771"/>
      <c r="B274" s="756" t="s">
        <v>1661</v>
      </c>
      <c r="C274" s="791"/>
      <c r="D274" s="808">
        <v>0</v>
      </c>
      <c r="E274" s="802"/>
      <c r="F274" s="802"/>
      <c r="G274" s="802"/>
      <c r="H274" s="802"/>
      <c r="I274" s="802"/>
      <c r="J274" s="802"/>
      <c r="K274" s="802"/>
      <c r="L274" s="802"/>
      <c r="M274" s="802"/>
      <c r="N274" s="791"/>
      <c r="O274" s="579">
        <v>0</v>
      </c>
      <c r="P274" s="802"/>
      <c r="Q274" s="802"/>
    </row>
    <row r="275" spans="1:17" s="551" customFormat="1">
      <c r="A275" s="771"/>
      <c r="B275" s="778" t="s">
        <v>1602</v>
      </c>
      <c r="C275" s="791"/>
      <c r="D275" s="808">
        <v>0</v>
      </c>
      <c r="E275" s="802"/>
      <c r="F275" s="802"/>
      <c r="G275" s="802"/>
      <c r="H275" s="802"/>
      <c r="I275" s="802"/>
      <c r="J275" s="802"/>
      <c r="K275" s="802"/>
      <c r="L275" s="802"/>
      <c r="M275" s="802"/>
      <c r="N275" s="791"/>
      <c r="O275" s="579">
        <v>0</v>
      </c>
      <c r="P275" s="802"/>
      <c r="Q275" s="802"/>
    </row>
    <row r="276" spans="1:17" s="551" customFormat="1">
      <c r="A276" s="771"/>
      <c r="B276" s="778" t="s">
        <v>1607</v>
      </c>
      <c r="C276" s="791"/>
      <c r="D276" s="808">
        <v>0</v>
      </c>
      <c r="E276" s="802"/>
      <c r="F276" s="802"/>
      <c r="G276" s="802"/>
      <c r="H276" s="802"/>
      <c r="I276" s="802"/>
      <c r="J276" s="802"/>
      <c r="K276" s="802"/>
      <c r="L276" s="802"/>
      <c r="M276" s="802"/>
      <c r="N276" s="791"/>
      <c r="O276" s="579">
        <v>0</v>
      </c>
      <c r="P276" s="802"/>
      <c r="Q276" s="802"/>
    </row>
    <row r="277" spans="1:17" s="551" customFormat="1">
      <c r="A277" s="771"/>
      <c r="B277" s="778" t="s">
        <v>2266</v>
      </c>
      <c r="C277" s="791"/>
      <c r="D277" s="808">
        <v>0</v>
      </c>
      <c r="E277" s="802"/>
      <c r="F277" s="802"/>
      <c r="G277" s="802"/>
      <c r="H277" s="802"/>
      <c r="I277" s="802"/>
      <c r="J277" s="802"/>
      <c r="K277" s="802"/>
      <c r="L277" s="802"/>
      <c r="M277" s="802"/>
      <c r="N277" s="791"/>
      <c r="O277" s="579">
        <v>0</v>
      </c>
      <c r="P277" s="802"/>
      <c r="Q277" s="802"/>
    </row>
    <row r="278" spans="1:17" s="797" customFormat="1">
      <c r="A278" s="769">
        <v>12</v>
      </c>
      <c r="B278" s="770" t="s">
        <v>1731</v>
      </c>
      <c r="C278" s="807">
        <v>0</v>
      </c>
      <c r="D278" s="807">
        <v>4582.8</v>
      </c>
      <c r="E278" s="807">
        <v>4303.2</v>
      </c>
      <c r="F278" s="807">
        <v>0</v>
      </c>
      <c r="G278" s="807">
        <v>248.2</v>
      </c>
      <c r="H278" s="807">
        <v>31.4</v>
      </c>
      <c r="I278" s="807">
        <v>0</v>
      </c>
      <c r="J278" s="807">
        <v>0</v>
      </c>
      <c r="K278" s="807">
        <v>0</v>
      </c>
      <c r="L278" s="807">
        <v>0</v>
      </c>
      <c r="M278" s="807">
        <v>0</v>
      </c>
      <c r="N278" s="807">
        <v>4527.7282840000007</v>
      </c>
      <c r="O278" s="807">
        <v>55.071715999999924</v>
      </c>
      <c r="P278" s="807">
        <v>55.071716000000002</v>
      </c>
      <c r="Q278" s="807"/>
    </row>
    <row r="279" spans="1:17">
      <c r="A279" s="769"/>
      <c r="B279" s="770" t="s">
        <v>551</v>
      </c>
      <c r="C279" s="576"/>
      <c r="D279" s="807">
        <v>2806.6</v>
      </c>
      <c r="E279" s="805">
        <v>2625.2</v>
      </c>
      <c r="F279" s="805"/>
      <c r="G279" s="805">
        <v>150</v>
      </c>
      <c r="H279" s="805">
        <v>31.4</v>
      </c>
      <c r="I279" s="805"/>
      <c r="J279" s="805"/>
      <c r="K279" s="805"/>
      <c r="L279" s="805"/>
      <c r="M279" s="805"/>
      <c r="N279" s="805">
        <v>2806.6</v>
      </c>
      <c r="O279" s="576">
        <v>0</v>
      </c>
      <c r="P279" s="805"/>
      <c r="Q279" s="805"/>
    </row>
    <row r="280" spans="1:17">
      <c r="A280" s="769"/>
      <c r="B280" s="770" t="s">
        <v>1305</v>
      </c>
      <c r="C280" s="576"/>
      <c r="D280" s="807">
        <v>580.20000000000005</v>
      </c>
      <c r="E280" s="805">
        <v>482</v>
      </c>
      <c r="F280" s="805"/>
      <c r="G280" s="805">
        <v>98.2</v>
      </c>
      <c r="H280" s="805"/>
      <c r="I280" s="805"/>
      <c r="J280" s="805"/>
      <c r="K280" s="805"/>
      <c r="L280" s="805"/>
      <c r="M280" s="805"/>
      <c r="N280" s="805">
        <v>580.20000000000005</v>
      </c>
      <c r="O280" s="576">
        <v>0</v>
      </c>
      <c r="P280" s="805"/>
      <c r="Q280" s="805"/>
    </row>
    <row r="281" spans="1:17" ht="19.5" customHeight="1">
      <c r="A281" s="769"/>
      <c r="B281" s="770" t="s">
        <v>1308</v>
      </c>
      <c r="C281" s="576"/>
      <c r="D281" s="807">
        <v>1196</v>
      </c>
      <c r="E281" s="805">
        <v>1196</v>
      </c>
      <c r="F281" s="805"/>
      <c r="G281" s="805"/>
      <c r="H281" s="805"/>
      <c r="I281" s="805"/>
      <c r="J281" s="805"/>
      <c r="K281" s="805"/>
      <c r="L281" s="805"/>
      <c r="M281" s="805"/>
      <c r="N281" s="805">
        <v>1140.9282840000001</v>
      </c>
      <c r="O281" s="576">
        <v>55.071715999999924</v>
      </c>
      <c r="P281" s="805">
        <v>55.071716000000002</v>
      </c>
      <c r="Q281" s="805"/>
    </row>
    <row r="282" spans="1:17">
      <c r="A282" s="769">
        <v>13</v>
      </c>
      <c r="B282" s="770" t="s">
        <v>1399</v>
      </c>
      <c r="C282" s="807">
        <v>0</v>
      </c>
      <c r="D282" s="807">
        <v>3778.0679999999988</v>
      </c>
      <c r="E282" s="807">
        <v>0</v>
      </c>
      <c r="F282" s="807">
        <v>4346.0360000000001</v>
      </c>
      <c r="G282" s="807">
        <v>104.8</v>
      </c>
      <c r="H282" s="807">
        <v>0</v>
      </c>
      <c r="I282" s="807">
        <v>0</v>
      </c>
      <c r="J282" s="807">
        <v>0</v>
      </c>
      <c r="K282" s="807">
        <v>59.778000000000006</v>
      </c>
      <c r="L282" s="807">
        <v>612.99</v>
      </c>
      <c r="M282" s="807">
        <v>0</v>
      </c>
      <c r="N282" s="807">
        <v>3667.6317660000004</v>
      </c>
      <c r="O282" s="807">
        <v>110.43623399999991</v>
      </c>
      <c r="P282" s="807">
        <v>0</v>
      </c>
      <c r="Q282" s="807">
        <v>110.436234</v>
      </c>
    </row>
    <row r="283" spans="1:17" s="529" customFormat="1" ht="33" customHeight="1">
      <c r="A283" s="771"/>
      <c r="B283" s="778" t="s">
        <v>1699</v>
      </c>
      <c r="C283" s="802"/>
      <c r="D283" s="808">
        <v>0</v>
      </c>
      <c r="E283" s="802"/>
      <c r="F283" s="802"/>
      <c r="G283" s="802"/>
      <c r="H283" s="802"/>
      <c r="I283" s="802"/>
      <c r="J283" s="802"/>
      <c r="K283" s="802"/>
      <c r="L283" s="802"/>
      <c r="M283" s="802"/>
      <c r="N283" s="802"/>
      <c r="O283" s="579">
        <v>0</v>
      </c>
      <c r="P283" s="802"/>
      <c r="Q283" s="802"/>
    </row>
    <row r="284" spans="1:17" s="529" customFormat="1">
      <c r="A284" s="771"/>
      <c r="B284" s="778" t="s">
        <v>451</v>
      </c>
      <c r="C284" s="802"/>
      <c r="D284" s="808">
        <v>1192.5899999999999</v>
      </c>
      <c r="E284" s="802"/>
      <c r="F284" s="802">
        <v>1286.365</v>
      </c>
      <c r="G284" s="802"/>
      <c r="H284" s="802"/>
      <c r="I284" s="802"/>
      <c r="J284" s="802"/>
      <c r="K284" s="802"/>
      <c r="L284" s="802">
        <v>93.775000000000006</v>
      </c>
      <c r="M284" s="802"/>
      <c r="N284" s="802">
        <v>1091.314566</v>
      </c>
      <c r="O284" s="579">
        <v>101.2754339999999</v>
      </c>
      <c r="P284" s="802"/>
      <c r="Q284" s="802">
        <v>101.275434</v>
      </c>
    </row>
    <row r="285" spans="1:17" s="529" customFormat="1">
      <c r="A285" s="771"/>
      <c r="B285" s="778" t="s">
        <v>509</v>
      </c>
      <c r="C285" s="802"/>
      <c r="D285" s="808">
        <v>100</v>
      </c>
      <c r="E285" s="802"/>
      <c r="F285" s="802">
        <v>100</v>
      </c>
      <c r="G285" s="802"/>
      <c r="H285" s="802"/>
      <c r="I285" s="802"/>
      <c r="J285" s="802"/>
      <c r="K285" s="802"/>
      <c r="L285" s="802"/>
      <c r="M285" s="802"/>
      <c r="N285" s="802">
        <v>100</v>
      </c>
      <c r="O285" s="579">
        <v>0</v>
      </c>
      <c r="P285" s="802"/>
      <c r="Q285" s="802"/>
    </row>
    <row r="286" spans="1:17" s="529" customFormat="1">
      <c r="A286" s="771"/>
      <c r="B286" s="778" t="s">
        <v>1662</v>
      </c>
      <c r="C286" s="802"/>
      <c r="D286" s="808">
        <v>20.481999999999999</v>
      </c>
      <c r="E286" s="802"/>
      <c r="F286" s="802">
        <v>20.481999999999999</v>
      </c>
      <c r="G286" s="802"/>
      <c r="H286" s="802"/>
      <c r="I286" s="802"/>
      <c r="J286" s="802"/>
      <c r="K286" s="802"/>
      <c r="L286" s="802"/>
      <c r="M286" s="802"/>
      <c r="N286" s="802">
        <v>20.48</v>
      </c>
      <c r="O286" s="579">
        <v>1.9999999999988916E-3</v>
      </c>
      <c r="P286" s="802"/>
      <c r="Q286" s="802">
        <v>1.9999999999988916E-3</v>
      </c>
    </row>
    <row r="287" spans="1:17" s="529" customFormat="1">
      <c r="A287" s="771"/>
      <c r="B287" s="778" t="s">
        <v>453</v>
      </c>
      <c r="C287" s="802"/>
      <c r="D287" s="808">
        <v>246.4</v>
      </c>
      <c r="E287" s="802"/>
      <c r="F287" s="802">
        <v>246.4</v>
      </c>
      <c r="G287" s="802"/>
      <c r="H287" s="802"/>
      <c r="I287" s="802"/>
      <c r="J287" s="802"/>
      <c r="K287" s="802"/>
      <c r="L287" s="802"/>
      <c r="M287" s="802"/>
      <c r="N287" s="802">
        <v>246.4</v>
      </c>
      <c r="O287" s="579">
        <v>0</v>
      </c>
      <c r="P287" s="802"/>
      <c r="Q287" s="802"/>
    </row>
    <row r="288" spans="1:17" s="529" customFormat="1">
      <c r="A288" s="771"/>
      <c r="B288" s="778" t="s">
        <v>512</v>
      </c>
      <c r="C288" s="802"/>
      <c r="D288" s="808">
        <v>127.01900000000001</v>
      </c>
      <c r="E288" s="802"/>
      <c r="F288" s="802">
        <v>136.34700000000001</v>
      </c>
      <c r="G288" s="802"/>
      <c r="H288" s="802"/>
      <c r="I288" s="802"/>
      <c r="J288" s="802"/>
      <c r="K288" s="802">
        <v>9.3279999999999994</v>
      </c>
      <c r="L288" s="802"/>
      <c r="M288" s="802"/>
      <c r="N288" s="802">
        <v>127.01900000000001</v>
      </c>
      <c r="O288" s="579">
        <v>0</v>
      </c>
      <c r="P288" s="802"/>
      <c r="Q288" s="802"/>
    </row>
    <row r="289" spans="1:17" s="529" customFormat="1">
      <c r="A289" s="771"/>
      <c r="B289" s="778" t="s">
        <v>484</v>
      </c>
      <c r="C289" s="802"/>
      <c r="D289" s="808">
        <v>0</v>
      </c>
      <c r="E289" s="802"/>
      <c r="F289" s="802"/>
      <c r="G289" s="802"/>
      <c r="H289" s="802"/>
      <c r="I289" s="802"/>
      <c r="J289" s="802"/>
      <c r="K289" s="802"/>
      <c r="L289" s="802"/>
      <c r="M289" s="802"/>
      <c r="N289" s="802"/>
      <c r="O289" s="579">
        <v>0</v>
      </c>
      <c r="P289" s="802"/>
      <c r="Q289" s="802"/>
    </row>
    <row r="290" spans="1:17" s="529" customFormat="1">
      <c r="A290" s="771"/>
      <c r="B290" s="778" t="s">
        <v>1732</v>
      </c>
      <c r="C290" s="802"/>
      <c r="D290" s="808">
        <v>77.989999999999995</v>
      </c>
      <c r="E290" s="802"/>
      <c r="F290" s="802">
        <v>77.989999999999995</v>
      </c>
      <c r="G290" s="802"/>
      <c r="H290" s="802"/>
      <c r="I290" s="802"/>
      <c r="J290" s="802"/>
      <c r="K290" s="802"/>
      <c r="L290" s="802"/>
      <c r="M290" s="802"/>
      <c r="N290" s="802">
        <v>77.989999999999995</v>
      </c>
      <c r="O290" s="579">
        <v>0</v>
      </c>
      <c r="P290" s="802"/>
      <c r="Q290" s="802"/>
    </row>
    <row r="291" spans="1:17" s="529" customFormat="1">
      <c r="A291" s="771"/>
      <c r="B291" s="778" t="s">
        <v>1694</v>
      </c>
      <c r="C291" s="802"/>
      <c r="D291" s="808">
        <v>0</v>
      </c>
      <c r="E291" s="802"/>
      <c r="F291" s="802"/>
      <c r="G291" s="802"/>
      <c r="H291" s="802"/>
      <c r="I291" s="802"/>
      <c r="J291" s="802"/>
      <c r="K291" s="802"/>
      <c r="L291" s="802"/>
      <c r="M291" s="802"/>
      <c r="N291" s="802"/>
      <c r="O291" s="579">
        <v>0</v>
      </c>
      <c r="P291" s="802"/>
      <c r="Q291" s="802"/>
    </row>
    <row r="292" spans="1:17" s="529" customFormat="1">
      <c r="A292" s="771"/>
      <c r="B292" s="778" t="s">
        <v>1726</v>
      </c>
      <c r="C292" s="802"/>
      <c r="D292" s="808">
        <v>0</v>
      </c>
      <c r="E292" s="802"/>
      <c r="F292" s="802"/>
      <c r="G292" s="802"/>
      <c r="H292" s="802"/>
      <c r="I292" s="802"/>
      <c r="J292" s="802"/>
      <c r="K292" s="802"/>
      <c r="L292" s="802"/>
      <c r="M292" s="802"/>
      <c r="N292" s="802"/>
      <c r="O292" s="579">
        <v>0</v>
      </c>
      <c r="P292" s="802"/>
      <c r="Q292" s="802"/>
    </row>
    <row r="293" spans="1:17" s="529" customFormat="1">
      <c r="A293" s="771"/>
      <c r="B293" s="778" t="s">
        <v>545</v>
      </c>
      <c r="C293" s="802"/>
      <c r="D293" s="808">
        <v>34.156999999999996</v>
      </c>
      <c r="E293" s="802"/>
      <c r="F293" s="802">
        <v>34.156999999999996</v>
      </c>
      <c r="G293" s="802"/>
      <c r="H293" s="802"/>
      <c r="I293" s="802"/>
      <c r="J293" s="802"/>
      <c r="K293" s="802"/>
      <c r="L293" s="802"/>
      <c r="M293" s="802"/>
      <c r="N293" s="802">
        <v>34.143000000000001</v>
      </c>
      <c r="O293" s="579">
        <v>1.3999999999995794E-2</v>
      </c>
      <c r="P293" s="802"/>
      <c r="Q293" s="802">
        <v>1.4E-2</v>
      </c>
    </row>
    <row r="294" spans="1:17" s="529" customFormat="1">
      <c r="A294" s="771"/>
      <c r="B294" s="778" t="s">
        <v>1663</v>
      </c>
      <c r="C294" s="802"/>
      <c r="D294" s="808">
        <v>0</v>
      </c>
      <c r="E294" s="802"/>
      <c r="F294" s="802"/>
      <c r="G294" s="802"/>
      <c r="H294" s="802"/>
      <c r="I294" s="802"/>
      <c r="J294" s="802"/>
      <c r="K294" s="802"/>
      <c r="L294" s="802"/>
      <c r="M294" s="802"/>
      <c r="N294" s="802"/>
      <c r="O294" s="579">
        <v>0</v>
      </c>
      <c r="P294" s="802"/>
      <c r="Q294" s="802"/>
    </row>
    <row r="295" spans="1:17" s="529" customFormat="1">
      <c r="A295" s="771"/>
      <c r="B295" s="778" t="s">
        <v>1402</v>
      </c>
      <c r="C295" s="802"/>
      <c r="D295" s="808">
        <v>1141.9969999999998</v>
      </c>
      <c r="E295" s="802"/>
      <c r="F295" s="802">
        <v>1037.1969999999999</v>
      </c>
      <c r="G295" s="802">
        <v>104.8</v>
      </c>
      <c r="H295" s="802"/>
      <c r="I295" s="802"/>
      <c r="J295" s="802"/>
      <c r="K295" s="802"/>
      <c r="L295" s="802"/>
      <c r="M295" s="802"/>
      <c r="N295" s="802">
        <v>1141.9970000000001</v>
      </c>
      <c r="O295" s="579">
        <v>0</v>
      </c>
      <c r="P295" s="802"/>
      <c r="Q295" s="802"/>
    </row>
    <row r="296" spans="1:17" s="529" customFormat="1">
      <c r="A296" s="771"/>
      <c r="B296" s="778" t="s">
        <v>1405</v>
      </c>
      <c r="C296" s="802"/>
      <c r="D296" s="808">
        <v>0</v>
      </c>
      <c r="E296" s="802"/>
      <c r="F296" s="802"/>
      <c r="G296" s="802"/>
      <c r="H296" s="802"/>
      <c r="I296" s="802"/>
      <c r="J296" s="802"/>
      <c r="K296" s="802"/>
      <c r="L296" s="802"/>
      <c r="M296" s="802"/>
      <c r="N296" s="802"/>
      <c r="O296" s="579">
        <v>0</v>
      </c>
      <c r="P296" s="802"/>
      <c r="Q296" s="802"/>
    </row>
    <row r="297" spans="1:17" s="529" customFormat="1">
      <c r="A297" s="771"/>
      <c r="B297" s="778" t="s">
        <v>343</v>
      </c>
      <c r="C297" s="802"/>
      <c r="D297" s="808">
        <v>0</v>
      </c>
      <c r="E297" s="802"/>
      <c r="F297" s="802"/>
      <c r="G297" s="802"/>
      <c r="H297" s="802"/>
      <c r="I297" s="802"/>
      <c r="J297" s="802"/>
      <c r="K297" s="802"/>
      <c r="L297" s="802"/>
      <c r="M297" s="802"/>
      <c r="N297" s="802"/>
      <c r="O297" s="579">
        <v>0</v>
      </c>
      <c r="P297" s="802"/>
      <c r="Q297" s="802"/>
    </row>
    <row r="298" spans="1:17" s="529" customFormat="1">
      <c r="A298" s="771"/>
      <c r="B298" s="778" t="s">
        <v>1348</v>
      </c>
      <c r="C298" s="802"/>
      <c r="D298" s="808">
        <v>185.39400000000001</v>
      </c>
      <c r="E298" s="802"/>
      <c r="F298" s="802">
        <v>185.39400000000001</v>
      </c>
      <c r="G298" s="802"/>
      <c r="H298" s="802"/>
      <c r="I298" s="802"/>
      <c r="J298" s="802"/>
      <c r="K298" s="802"/>
      <c r="L298" s="802"/>
      <c r="M298" s="802"/>
      <c r="N298" s="802">
        <v>185.39400000000001</v>
      </c>
      <c r="O298" s="579">
        <v>0</v>
      </c>
      <c r="P298" s="802"/>
      <c r="Q298" s="802"/>
    </row>
    <row r="299" spans="1:17" s="529" customFormat="1">
      <c r="A299" s="771"/>
      <c r="B299" s="756" t="s">
        <v>1407</v>
      </c>
      <c r="C299" s="579"/>
      <c r="D299" s="808">
        <v>70.745000000000005</v>
      </c>
      <c r="E299" s="802"/>
      <c r="F299" s="802">
        <v>70.745000000000005</v>
      </c>
      <c r="G299" s="802"/>
      <c r="H299" s="802"/>
      <c r="I299" s="802"/>
      <c r="J299" s="802"/>
      <c r="K299" s="802"/>
      <c r="L299" s="802"/>
      <c r="M299" s="802"/>
      <c r="N299" s="802">
        <v>70.742999999999995</v>
      </c>
      <c r="O299" s="579">
        <v>2.0000000000095497E-3</v>
      </c>
      <c r="P299" s="802"/>
      <c r="Q299" s="802">
        <v>2.0000000000095497E-3</v>
      </c>
    </row>
    <row r="300" spans="1:17" s="529" customFormat="1">
      <c r="A300" s="771"/>
      <c r="B300" s="756" t="s">
        <v>1664</v>
      </c>
      <c r="C300" s="579"/>
      <c r="D300" s="808">
        <v>157.85</v>
      </c>
      <c r="E300" s="802"/>
      <c r="F300" s="802">
        <v>157.85</v>
      </c>
      <c r="G300" s="802"/>
      <c r="H300" s="802"/>
      <c r="I300" s="802"/>
      <c r="J300" s="802"/>
      <c r="K300" s="802"/>
      <c r="L300" s="802"/>
      <c r="M300" s="802"/>
      <c r="N300" s="802">
        <v>149.27719999999999</v>
      </c>
      <c r="O300" s="579">
        <v>8.5728000000000009</v>
      </c>
      <c r="P300" s="802"/>
      <c r="Q300" s="802">
        <v>8.5728000000000009</v>
      </c>
    </row>
    <row r="301" spans="1:17" s="529" customFormat="1">
      <c r="A301" s="771"/>
      <c r="B301" s="778" t="s">
        <v>1728</v>
      </c>
      <c r="C301" s="802"/>
      <c r="D301" s="808">
        <v>232.57499999999999</v>
      </c>
      <c r="E301" s="802"/>
      <c r="F301" s="802">
        <v>232.57499999999999</v>
      </c>
      <c r="G301" s="802"/>
      <c r="H301" s="802"/>
      <c r="I301" s="802"/>
      <c r="J301" s="802"/>
      <c r="K301" s="802"/>
      <c r="L301" s="802"/>
      <c r="M301" s="802"/>
      <c r="N301" s="802">
        <v>232.57499999999999</v>
      </c>
      <c r="O301" s="579">
        <v>0</v>
      </c>
      <c r="P301" s="802"/>
      <c r="Q301" s="802"/>
    </row>
    <row r="302" spans="1:17" s="529" customFormat="1">
      <c r="A302" s="771"/>
      <c r="B302" s="779" t="s">
        <v>560</v>
      </c>
      <c r="C302" s="802"/>
      <c r="D302" s="808">
        <v>67.327999999999975</v>
      </c>
      <c r="E302" s="802"/>
      <c r="F302" s="802">
        <v>586.54300000000001</v>
      </c>
      <c r="G302" s="802"/>
      <c r="H302" s="802"/>
      <c r="I302" s="802"/>
      <c r="J302" s="802"/>
      <c r="K302" s="802"/>
      <c r="L302" s="802">
        <v>519.21500000000003</v>
      </c>
      <c r="M302" s="802"/>
      <c r="N302" s="802">
        <v>67.328000000000003</v>
      </c>
      <c r="O302" s="579">
        <v>0</v>
      </c>
      <c r="P302" s="802"/>
      <c r="Q302" s="802"/>
    </row>
    <row r="303" spans="1:17" s="529" customFormat="1">
      <c r="A303" s="771"/>
      <c r="B303" s="778" t="s">
        <v>1665</v>
      </c>
      <c r="C303" s="802"/>
      <c r="D303" s="808">
        <v>81.301000000000002</v>
      </c>
      <c r="E303" s="802"/>
      <c r="F303" s="802">
        <v>81.301000000000002</v>
      </c>
      <c r="G303" s="802"/>
      <c r="H303" s="802"/>
      <c r="I303" s="802"/>
      <c r="J303" s="802"/>
      <c r="K303" s="802"/>
      <c r="L303" s="802"/>
      <c r="M303" s="802"/>
      <c r="N303" s="802">
        <v>80.730999999999995</v>
      </c>
      <c r="O303" s="579">
        <v>0.57000000000000739</v>
      </c>
      <c r="P303" s="802"/>
      <c r="Q303" s="802">
        <v>0.56999999999999995</v>
      </c>
    </row>
    <row r="304" spans="1:17" s="529" customFormat="1">
      <c r="A304" s="771"/>
      <c r="B304" s="778" t="s">
        <v>2267</v>
      </c>
      <c r="C304" s="802"/>
      <c r="D304" s="808">
        <v>0</v>
      </c>
      <c r="E304" s="802"/>
      <c r="F304" s="802"/>
      <c r="G304" s="802"/>
      <c r="H304" s="802"/>
      <c r="I304" s="802"/>
      <c r="J304" s="802"/>
      <c r="K304" s="802"/>
      <c r="L304" s="802"/>
      <c r="M304" s="802"/>
      <c r="N304" s="802"/>
      <c r="O304" s="579">
        <v>0</v>
      </c>
      <c r="P304" s="802"/>
      <c r="Q304" s="802">
        <v>0</v>
      </c>
    </row>
    <row r="305" spans="1:17" s="529" customFormat="1">
      <c r="A305" s="771"/>
      <c r="B305" s="756" t="s">
        <v>1418</v>
      </c>
      <c r="C305" s="579"/>
      <c r="D305" s="808">
        <v>0</v>
      </c>
      <c r="E305" s="802"/>
      <c r="F305" s="802">
        <v>50.45</v>
      </c>
      <c r="G305" s="802"/>
      <c r="H305" s="802"/>
      <c r="I305" s="802"/>
      <c r="J305" s="802"/>
      <c r="K305" s="802">
        <v>50.45</v>
      </c>
      <c r="L305" s="802"/>
      <c r="M305" s="802"/>
      <c r="N305" s="802"/>
      <c r="O305" s="579">
        <v>0</v>
      </c>
      <c r="P305" s="802"/>
      <c r="Q305" s="802"/>
    </row>
    <row r="306" spans="1:17" s="529" customFormat="1">
      <c r="A306" s="771"/>
      <c r="B306" s="756" t="s">
        <v>1764</v>
      </c>
      <c r="C306" s="802"/>
      <c r="D306" s="808">
        <v>0</v>
      </c>
      <c r="E306" s="579"/>
      <c r="F306" s="579"/>
      <c r="G306" s="802"/>
      <c r="H306" s="802"/>
      <c r="I306" s="802"/>
      <c r="J306" s="802"/>
      <c r="K306" s="802"/>
      <c r="L306" s="802"/>
      <c r="M306" s="802"/>
      <c r="N306" s="802"/>
      <c r="O306" s="579">
        <v>0</v>
      </c>
      <c r="P306" s="802"/>
      <c r="Q306" s="802"/>
    </row>
    <row r="307" spans="1:17" s="529" customFormat="1">
      <c r="A307" s="771"/>
      <c r="B307" s="756" t="s">
        <v>1667</v>
      </c>
      <c r="C307" s="579"/>
      <c r="D307" s="808">
        <v>42.24</v>
      </c>
      <c r="E307" s="579"/>
      <c r="F307" s="579">
        <v>42.24</v>
      </c>
      <c r="G307" s="802"/>
      <c r="H307" s="802"/>
      <c r="I307" s="802"/>
      <c r="J307" s="802"/>
      <c r="K307" s="802"/>
      <c r="L307" s="802"/>
      <c r="M307" s="802"/>
      <c r="N307" s="802">
        <v>42.24</v>
      </c>
      <c r="O307" s="579">
        <v>0</v>
      </c>
      <c r="P307" s="802"/>
      <c r="Q307" s="802"/>
    </row>
    <row r="308" spans="1:17" s="529" customFormat="1">
      <c r="A308" s="771"/>
      <c r="B308" s="756" t="s">
        <v>1821</v>
      </c>
      <c r="C308" s="579"/>
      <c r="D308" s="808">
        <v>0</v>
      </c>
      <c r="E308" s="813"/>
      <c r="F308" s="579"/>
      <c r="G308" s="802"/>
      <c r="H308" s="802"/>
      <c r="I308" s="802"/>
      <c r="J308" s="802"/>
      <c r="K308" s="802"/>
      <c r="L308" s="802"/>
      <c r="M308" s="802"/>
      <c r="N308" s="802"/>
      <c r="O308" s="579">
        <v>0</v>
      </c>
      <c r="P308" s="802"/>
      <c r="Q308" s="802"/>
    </row>
    <row r="309" spans="1:17" ht="31.5">
      <c r="A309" s="769">
        <v>14</v>
      </c>
      <c r="B309" s="770" t="s">
        <v>2424</v>
      </c>
      <c r="C309" s="576">
        <v>0</v>
      </c>
      <c r="D309" s="807">
        <v>825.03</v>
      </c>
      <c r="E309" s="807">
        <v>825.03</v>
      </c>
      <c r="F309" s="807"/>
      <c r="G309" s="807">
        <v>0</v>
      </c>
      <c r="H309" s="807"/>
      <c r="I309" s="807"/>
      <c r="J309" s="807"/>
      <c r="K309" s="807"/>
      <c r="L309" s="807">
        <v>0</v>
      </c>
      <c r="M309" s="807"/>
      <c r="N309" s="807">
        <v>825.03</v>
      </c>
      <c r="O309" s="807">
        <v>0</v>
      </c>
      <c r="P309" s="807">
        <v>0</v>
      </c>
      <c r="Q309" s="807">
        <v>0</v>
      </c>
    </row>
    <row r="310" spans="1:17" s="529" customFormat="1">
      <c r="A310" s="771"/>
      <c r="B310" s="772" t="s">
        <v>451</v>
      </c>
      <c r="C310" s="579"/>
      <c r="D310" s="808">
        <v>825.03</v>
      </c>
      <c r="E310" s="802">
        <v>825.03</v>
      </c>
      <c r="F310" s="802"/>
      <c r="G310" s="802"/>
      <c r="H310" s="802"/>
      <c r="I310" s="802"/>
      <c r="J310" s="802"/>
      <c r="K310" s="802"/>
      <c r="L310" s="802"/>
      <c r="M310" s="802"/>
      <c r="N310" s="802">
        <v>825.03</v>
      </c>
      <c r="O310" s="579">
        <v>0</v>
      </c>
      <c r="P310" s="802"/>
      <c r="Q310" s="802"/>
    </row>
    <row r="311" spans="1:17">
      <c r="A311" s="769">
        <v>15</v>
      </c>
      <c r="B311" s="770" t="s">
        <v>1822</v>
      </c>
      <c r="C311" s="807">
        <v>0</v>
      </c>
      <c r="D311" s="807">
        <v>0</v>
      </c>
      <c r="E311" s="807"/>
      <c r="F311" s="807"/>
      <c r="G311" s="807">
        <v>0</v>
      </c>
      <c r="H311" s="807"/>
      <c r="I311" s="807"/>
      <c r="J311" s="807"/>
      <c r="K311" s="807"/>
      <c r="L311" s="807">
        <v>0</v>
      </c>
      <c r="M311" s="807"/>
      <c r="N311" s="807">
        <v>0</v>
      </c>
      <c r="O311" s="807">
        <v>0</v>
      </c>
      <c r="P311" s="807">
        <v>0</v>
      </c>
      <c r="Q311" s="807">
        <v>0</v>
      </c>
    </row>
    <row r="312" spans="1:17" s="529" customFormat="1">
      <c r="A312" s="771"/>
      <c r="B312" s="778" t="s">
        <v>1519</v>
      </c>
      <c r="C312" s="802"/>
      <c r="D312" s="808">
        <v>0</v>
      </c>
      <c r="E312" s="802">
        <v>0</v>
      </c>
      <c r="F312" s="802"/>
      <c r="G312" s="802"/>
      <c r="H312" s="802"/>
      <c r="I312" s="802"/>
      <c r="J312" s="802"/>
      <c r="K312" s="802"/>
      <c r="L312" s="802"/>
      <c r="M312" s="802"/>
      <c r="N312" s="802"/>
      <c r="O312" s="579">
        <v>0</v>
      </c>
      <c r="P312" s="802"/>
      <c r="Q312" s="802"/>
    </row>
    <row r="313" spans="1:17" ht="47.25">
      <c r="A313" s="769">
        <v>16</v>
      </c>
      <c r="B313" s="202" t="s">
        <v>1733</v>
      </c>
      <c r="C313" s="805">
        <v>0</v>
      </c>
      <c r="D313" s="805">
        <v>2000</v>
      </c>
      <c r="E313" s="805">
        <v>2000</v>
      </c>
      <c r="F313" s="805">
        <v>0</v>
      </c>
      <c r="G313" s="805">
        <v>0</v>
      </c>
      <c r="H313" s="805">
        <v>0</v>
      </c>
      <c r="I313" s="805">
        <v>0</v>
      </c>
      <c r="J313" s="805">
        <v>0</v>
      </c>
      <c r="K313" s="805">
        <v>0</v>
      </c>
      <c r="L313" s="805">
        <v>0</v>
      </c>
      <c r="M313" s="805">
        <v>0</v>
      </c>
      <c r="N313" s="805">
        <v>0</v>
      </c>
      <c r="O313" s="579">
        <v>2000</v>
      </c>
      <c r="P313" s="805">
        <v>0</v>
      </c>
      <c r="Q313" s="805">
        <v>2000</v>
      </c>
    </row>
    <row r="314" spans="1:17" s="529" customFormat="1">
      <c r="A314" s="771"/>
      <c r="B314" s="778" t="s">
        <v>1699</v>
      </c>
      <c r="C314" s="802"/>
      <c r="D314" s="808">
        <v>0</v>
      </c>
      <c r="E314" s="802"/>
      <c r="F314" s="802"/>
      <c r="G314" s="802"/>
      <c r="H314" s="802"/>
      <c r="I314" s="802"/>
      <c r="J314" s="802"/>
      <c r="K314" s="802"/>
      <c r="L314" s="802"/>
      <c r="M314" s="802"/>
      <c r="N314" s="802"/>
      <c r="O314" s="579">
        <v>0</v>
      </c>
      <c r="P314" s="802"/>
      <c r="Q314" s="802"/>
    </row>
    <row r="315" spans="1:17" s="529" customFormat="1">
      <c r="A315" s="771"/>
      <c r="B315" s="756" t="s">
        <v>451</v>
      </c>
      <c r="C315" s="802"/>
      <c r="D315" s="808">
        <v>0</v>
      </c>
      <c r="E315" s="802"/>
      <c r="F315" s="802"/>
      <c r="G315" s="802"/>
      <c r="H315" s="802"/>
      <c r="I315" s="802"/>
      <c r="J315" s="802"/>
      <c r="K315" s="802"/>
      <c r="L315" s="802"/>
      <c r="M315" s="802"/>
      <c r="N315" s="802"/>
      <c r="O315" s="579">
        <v>0</v>
      </c>
      <c r="P315" s="802"/>
      <c r="Q315" s="802"/>
    </row>
    <row r="316" spans="1:17" s="529" customFormat="1">
      <c r="A316" s="771"/>
      <c r="B316" s="778" t="s">
        <v>1734</v>
      </c>
      <c r="C316" s="802"/>
      <c r="D316" s="808">
        <v>0</v>
      </c>
      <c r="E316" s="802"/>
      <c r="F316" s="802"/>
      <c r="G316" s="802"/>
      <c r="H316" s="802"/>
      <c r="I316" s="802"/>
      <c r="J316" s="802"/>
      <c r="K316" s="802"/>
      <c r="L316" s="802"/>
      <c r="M316" s="802"/>
      <c r="N316" s="802"/>
      <c r="O316" s="579">
        <v>0</v>
      </c>
      <c r="P316" s="802"/>
      <c r="Q316" s="802"/>
    </row>
    <row r="317" spans="1:17" s="529" customFormat="1">
      <c r="A317" s="771"/>
      <c r="B317" s="778" t="s">
        <v>512</v>
      </c>
      <c r="C317" s="802"/>
      <c r="D317" s="808">
        <v>0</v>
      </c>
      <c r="E317" s="802"/>
      <c r="F317" s="802"/>
      <c r="G317" s="802"/>
      <c r="H317" s="802"/>
      <c r="I317" s="802"/>
      <c r="J317" s="802"/>
      <c r="K317" s="802"/>
      <c r="L317" s="802"/>
      <c r="M317" s="802"/>
      <c r="N317" s="802"/>
      <c r="O317" s="579">
        <v>0</v>
      </c>
      <c r="P317" s="802"/>
      <c r="Q317" s="579"/>
    </row>
    <row r="318" spans="1:17" s="529" customFormat="1">
      <c r="A318" s="771"/>
      <c r="B318" s="778" t="s">
        <v>551</v>
      </c>
      <c r="C318" s="802"/>
      <c r="D318" s="808">
        <v>0</v>
      </c>
      <c r="E318" s="802"/>
      <c r="F318" s="802"/>
      <c r="G318" s="802"/>
      <c r="H318" s="802"/>
      <c r="I318" s="802"/>
      <c r="J318" s="802"/>
      <c r="K318" s="802"/>
      <c r="L318" s="802"/>
      <c r="M318" s="802"/>
      <c r="N318" s="802"/>
      <c r="O318" s="579">
        <v>0</v>
      </c>
      <c r="P318" s="802"/>
      <c r="Q318" s="579">
        <v>0</v>
      </c>
    </row>
    <row r="319" spans="1:17">
      <c r="A319" s="769">
        <v>19</v>
      </c>
      <c r="B319" s="202" t="s">
        <v>525</v>
      </c>
      <c r="C319" s="805"/>
      <c r="D319" s="807">
        <v>0</v>
      </c>
      <c r="E319" s="805"/>
      <c r="F319" s="805"/>
      <c r="G319" s="805"/>
      <c r="H319" s="805"/>
      <c r="I319" s="805"/>
      <c r="J319" s="805"/>
      <c r="K319" s="805"/>
      <c r="L319" s="805"/>
      <c r="M319" s="805"/>
      <c r="N319" s="805"/>
      <c r="O319" s="576">
        <v>0</v>
      </c>
      <c r="P319" s="805"/>
      <c r="Q319" s="576"/>
    </row>
    <row r="320" spans="1:17">
      <c r="A320" s="766" t="s">
        <v>1346</v>
      </c>
      <c r="B320" s="767" t="s">
        <v>1668</v>
      </c>
      <c r="C320" s="806">
        <v>13507.184069000001</v>
      </c>
      <c r="D320" s="806">
        <v>602871.33081299998</v>
      </c>
      <c r="E320" s="806">
        <v>512645.46432899998</v>
      </c>
      <c r="F320" s="806">
        <v>114164.71</v>
      </c>
      <c r="G320" s="806">
        <v>0</v>
      </c>
      <c r="H320" s="806">
        <v>0</v>
      </c>
      <c r="I320" s="806">
        <v>0</v>
      </c>
      <c r="J320" s="806">
        <v>0</v>
      </c>
      <c r="K320" s="806">
        <v>3206.23819</v>
      </c>
      <c r="L320" s="806">
        <v>20732.605326000001</v>
      </c>
      <c r="M320" s="806">
        <v>0</v>
      </c>
      <c r="N320" s="806">
        <v>592458.7825819999</v>
      </c>
      <c r="O320" s="806">
        <v>23919.732300000025</v>
      </c>
      <c r="P320" s="806">
        <v>22978.101340000005</v>
      </c>
      <c r="Q320" s="806">
        <v>941.63095999999985</v>
      </c>
    </row>
    <row r="321" spans="1:17">
      <c r="A321" s="766">
        <v>1</v>
      </c>
      <c r="B321" s="767" t="s">
        <v>1823</v>
      </c>
      <c r="C321" s="806">
        <v>13507.184069000001</v>
      </c>
      <c r="D321" s="806">
        <v>387588.56002199999</v>
      </c>
      <c r="E321" s="806">
        <v>290679.69353799999</v>
      </c>
      <c r="F321" s="806">
        <v>114164.71</v>
      </c>
      <c r="G321" s="806">
        <v>0</v>
      </c>
      <c r="H321" s="806">
        <v>0</v>
      </c>
      <c r="I321" s="806">
        <v>0</v>
      </c>
      <c r="J321" s="806">
        <v>0</v>
      </c>
      <c r="K321" s="806">
        <v>3206.23819</v>
      </c>
      <c r="L321" s="806">
        <v>14049.605326000001</v>
      </c>
      <c r="M321" s="806">
        <v>0</v>
      </c>
      <c r="N321" s="806">
        <v>377180.11237699998</v>
      </c>
      <c r="O321" s="806">
        <v>23915.631714000025</v>
      </c>
      <c r="P321" s="806">
        <v>22978.101340000005</v>
      </c>
      <c r="Q321" s="806">
        <v>937.53037399999982</v>
      </c>
    </row>
    <row r="322" spans="1:17">
      <c r="A322" s="580" t="s">
        <v>96</v>
      </c>
      <c r="B322" s="780" t="s">
        <v>1432</v>
      </c>
      <c r="C322" s="581">
        <v>11350.486428</v>
      </c>
      <c r="D322" s="581">
        <v>356944.25092199998</v>
      </c>
      <c r="E322" s="581">
        <v>260203.21234199998</v>
      </c>
      <c r="F322" s="581">
        <v>113083.36</v>
      </c>
      <c r="G322" s="581">
        <v>0</v>
      </c>
      <c r="H322" s="581">
        <v>0</v>
      </c>
      <c r="I322" s="581">
        <v>0</v>
      </c>
      <c r="J322" s="581">
        <v>0</v>
      </c>
      <c r="K322" s="581">
        <v>2292.7160940000003</v>
      </c>
      <c r="L322" s="581">
        <v>14049.605326000001</v>
      </c>
      <c r="M322" s="581">
        <v>0</v>
      </c>
      <c r="N322" s="581">
        <v>345162.36461599998</v>
      </c>
      <c r="O322" s="581">
        <v>23132.372734000022</v>
      </c>
      <c r="P322" s="581">
        <v>22355.945915000004</v>
      </c>
      <c r="Q322" s="581">
        <v>776.4268189999998</v>
      </c>
    </row>
    <row r="323" spans="1:17">
      <c r="A323" s="769"/>
      <c r="B323" s="540" t="s">
        <v>1433</v>
      </c>
      <c r="C323" s="805">
        <v>13.282999999999999</v>
      </c>
      <c r="D323" s="807">
        <v>15694.635</v>
      </c>
      <c r="E323" s="805">
        <v>16051.4</v>
      </c>
      <c r="F323" s="805"/>
      <c r="G323" s="805"/>
      <c r="H323" s="805"/>
      <c r="I323" s="805"/>
      <c r="J323" s="805"/>
      <c r="K323" s="805"/>
      <c r="L323" s="805">
        <v>356.76499999999999</v>
      </c>
      <c r="M323" s="805"/>
      <c r="N323" s="805">
        <v>3628.9180000000001</v>
      </c>
      <c r="O323" s="576">
        <v>12079</v>
      </c>
      <c r="P323" s="805">
        <v>12079</v>
      </c>
      <c r="Q323" s="805"/>
    </row>
    <row r="324" spans="1:17">
      <c r="A324" s="769"/>
      <c r="B324" s="781" t="s">
        <v>1434</v>
      </c>
      <c r="C324" s="576"/>
      <c r="D324" s="807">
        <v>56.094999999999999</v>
      </c>
      <c r="E324" s="805">
        <v>100</v>
      </c>
      <c r="F324" s="805"/>
      <c r="G324" s="805"/>
      <c r="H324" s="805"/>
      <c r="I324" s="805"/>
      <c r="J324" s="805"/>
      <c r="K324" s="805">
        <v>43.905000000000001</v>
      </c>
      <c r="L324" s="805">
        <v>0</v>
      </c>
      <c r="M324" s="805"/>
      <c r="N324" s="805">
        <v>56.094999999999999</v>
      </c>
      <c r="O324" s="576">
        <v>0</v>
      </c>
      <c r="P324" s="805"/>
      <c r="Q324" s="805"/>
    </row>
    <row r="325" spans="1:17">
      <c r="A325" s="769"/>
      <c r="B325" s="801" t="s">
        <v>1435</v>
      </c>
      <c r="C325" s="805">
        <v>261.51315499999998</v>
      </c>
      <c r="D325" s="807">
        <v>4563.7907550000009</v>
      </c>
      <c r="E325" s="805">
        <v>4573.0357490000006</v>
      </c>
      <c r="F325" s="805"/>
      <c r="G325" s="805"/>
      <c r="H325" s="805"/>
      <c r="I325" s="805"/>
      <c r="J325" s="805"/>
      <c r="K325" s="805">
        <v>9.2449940000000002</v>
      </c>
      <c r="L325" s="805"/>
      <c r="M325" s="805"/>
      <c r="N325" s="805">
        <v>4749.923847</v>
      </c>
      <c r="O325" s="576">
        <v>75.380063000000519</v>
      </c>
      <c r="P325" s="805"/>
      <c r="Q325" s="805">
        <v>75.380063000000007</v>
      </c>
    </row>
    <row r="326" spans="1:17">
      <c r="A326" s="769"/>
      <c r="B326" s="801" t="s">
        <v>1436</v>
      </c>
      <c r="C326" s="805">
        <v>85.247</v>
      </c>
      <c r="D326" s="807">
        <v>1864.5439000000001</v>
      </c>
      <c r="E326" s="805">
        <v>1882.8700000000001</v>
      </c>
      <c r="F326" s="805"/>
      <c r="G326" s="805"/>
      <c r="H326" s="805"/>
      <c r="I326" s="805"/>
      <c r="J326" s="805"/>
      <c r="K326" s="805">
        <v>18.3261</v>
      </c>
      <c r="L326" s="805">
        <v>0</v>
      </c>
      <c r="M326" s="805"/>
      <c r="N326" s="805">
        <v>1946.9969080000001</v>
      </c>
      <c r="O326" s="576">
        <v>2.7939920000001166</v>
      </c>
      <c r="P326" s="805"/>
      <c r="Q326" s="805">
        <v>2.7939919999999998</v>
      </c>
    </row>
    <row r="327" spans="1:17">
      <c r="A327" s="769"/>
      <c r="B327" s="801" t="s">
        <v>1317</v>
      </c>
      <c r="C327" s="805">
        <v>167.755281</v>
      </c>
      <c r="D327" s="807">
        <v>6676.322718999998</v>
      </c>
      <c r="E327" s="805">
        <v>7199.2389999999996</v>
      </c>
      <c r="F327" s="805">
        <v>1392.4</v>
      </c>
      <c r="G327" s="805"/>
      <c r="H327" s="805"/>
      <c r="I327" s="805"/>
      <c r="J327" s="805"/>
      <c r="K327" s="805">
        <v>5.3609999999999998</v>
      </c>
      <c r="L327" s="805">
        <v>1909.955281</v>
      </c>
      <c r="M327" s="805"/>
      <c r="N327" s="805">
        <v>6034.4874359999994</v>
      </c>
      <c r="O327" s="576">
        <v>809.59056399999827</v>
      </c>
      <c r="P327" s="805">
        <v>680</v>
      </c>
      <c r="Q327" s="805">
        <v>129.590564</v>
      </c>
    </row>
    <row r="328" spans="1:17" ht="31.5">
      <c r="A328" s="769"/>
      <c r="B328" s="801" t="s">
        <v>2268</v>
      </c>
      <c r="C328" s="805"/>
      <c r="D328" s="807">
        <v>4654.0340000000006</v>
      </c>
      <c r="E328" s="805">
        <v>5273.8440000000001</v>
      </c>
      <c r="F328" s="805"/>
      <c r="G328" s="805"/>
      <c r="H328" s="805"/>
      <c r="I328" s="805"/>
      <c r="J328" s="805"/>
      <c r="K328" s="805">
        <v>0.41</v>
      </c>
      <c r="L328" s="805">
        <v>619.4</v>
      </c>
      <c r="M328" s="805"/>
      <c r="N328" s="805">
        <v>4654.0339999999997</v>
      </c>
      <c r="O328" s="576">
        <v>0</v>
      </c>
      <c r="P328" s="805"/>
      <c r="Q328" s="805"/>
    </row>
    <row r="329" spans="1:17">
      <c r="A329" s="769"/>
      <c r="B329" s="801" t="s">
        <v>1319</v>
      </c>
      <c r="C329" s="805"/>
      <c r="D329" s="807">
        <v>171.24</v>
      </c>
      <c r="E329" s="805">
        <v>171.24</v>
      </c>
      <c r="F329" s="805"/>
      <c r="G329" s="805"/>
      <c r="H329" s="805"/>
      <c r="I329" s="805"/>
      <c r="J329" s="805"/>
      <c r="K329" s="805"/>
      <c r="L329" s="805"/>
      <c r="M329" s="805"/>
      <c r="N329" s="805">
        <v>171.24</v>
      </c>
      <c r="O329" s="576">
        <v>0</v>
      </c>
      <c r="P329" s="805"/>
      <c r="Q329" s="805"/>
    </row>
    <row r="330" spans="1:17">
      <c r="A330" s="769"/>
      <c r="B330" s="801" t="s">
        <v>1646</v>
      </c>
      <c r="C330" s="805"/>
      <c r="D330" s="807">
        <v>184.99999999999997</v>
      </c>
      <c r="E330" s="805">
        <v>335</v>
      </c>
      <c r="F330" s="805"/>
      <c r="G330" s="805"/>
      <c r="H330" s="805"/>
      <c r="I330" s="805"/>
      <c r="J330" s="805"/>
      <c r="K330" s="805">
        <v>50.6</v>
      </c>
      <c r="L330" s="805">
        <v>99.4</v>
      </c>
      <c r="M330" s="805"/>
      <c r="N330" s="805">
        <v>185</v>
      </c>
      <c r="O330" s="576">
        <v>0</v>
      </c>
      <c r="P330" s="805"/>
      <c r="Q330" s="805"/>
    </row>
    <row r="331" spans="1:17">
      <c r="A331" s="769"/>
      <c r="B331" s="801" t="s">
        <v>1531</v>
      </c>
      <c r="C331" s="805"/>
      <c r="D331" s="807">
        <v>15</v>
      </c>
      <c r="E331" s="805">
        <v>15</v>
      </c>
      <c r="F331" s="805"/>
      <c r="G331" s="805"/>
      <c r="H331" s="805"/>
      <c r="I331" s="805"/>
      <c r="J331" s="805"/>
      <c r="K331" s="805"/>
      <c r="L331" s="805"/>
      <c r="M331" s="805"/>
      <c r="N331" s="805">
        <v>15</v>
      </c>
      <c r="O331" s="576">
        <v>0</v>
      </c>
      <c r="P331" s="805"/>
      <c r="Q331" s="805"/>
    </row>
    <row r="332" spans="1:17">
      <c r="A332" s="769"/>
      <c r="B332" s="782" t="s">
        <v>1438</v>
      </c>
      <c r="C332" s="805">
        <v>4195.3280919999997</v>
      </c>
      <c r="D332" s="807">
        <v>29274.130293999999</v>
      </c>
      <c r="E332" s="805">
        <v>22667.829605999999</v>
      </c>
      <c r="F332" s="805">
        <v>10643.24</v>
      </c>
      <c r="G332" s="805"/>
      <c r="H332" s="805"/>
      <c r="I332" s="805"/>
      <c r="J332" s="805"/>
      <c r="K332" s="805">
        <v>426.3347</v>
      </c>
      <c r="L332" s="805">
        <v>3610.6046120000001</v>
      </c>
      <c r="M332" s="805"/>
      <c r="N332" s="805">
        <v>33421.302386000003</v>
      </c>
      <c r="O332" s="576">
        <v>48.155999999995402</v>
      </c>
      <c r="P332" s="805"/>
      <c r="Q332" s="805">
        <v>48.155999999999999</v>
      </c>
    </row>
    <row r="333" spans="1:17">
      <c r="A333" s="769"/>
      <c r="B333" s="782" t="s">
        <v>1439</v>
      </c>
      <c r="C333" s="805">
        <v>3273.7031909999996</v>
      </c>
      <c r="D333" s="807">
        <v>36847.722900000001</v>
      </c>
      <c r="E333" s="805">
        <v>22320.859</v>
      </c>
      <c r="F333" s="805">
        <v>15367.02</v>
      </c>
      <c r="G333" s="805"/>
      <c r="H333" s="805"/>
      <c r="I333" s="805"/>
      <c r="J333" s="805"/>
      <c r="K333" s="805">
        <v>507.50810000000001</v>
      </c>
      <c r="L333" s="805">
        <v>332.64800000000002</v>
      </c>
      <c r="M333" s="805"/>
      <c r="N333" s="805">
        <v>38818.004502999996</v>
      </c>
      <c r="O333" s="576">
        <v>1303.4215880000047</v>
      </c>
      <c r="P333" s="805">
        <v>1287.9263880000001</v>
      </c>
      <c r="Q333" s="805">
        <v>15.495200000000001</v>
      </c>
    </row>
    <row r="334" spans="1:17">
      <c r="A334" s="769"/>
      <c r="B334" s="782" t="s">
        <v>1440</v>
      </c>
      <c r="C334" s="805">
        <v>556.57443000000001</v>
      </c>
      <c r="D334" s="807">
        <v>49621.726000000002</v>
      </c>
      <c r="E334" s="805">
        <v>32600.527999999998</v>
      </c>
      <c r="F334" s="805">
        <v>17407.7</v>
      </c>
      <c r="G334" s="805"/>
      <c r="H334" s="805"/>
      <c r="I334" s="805"/>
      <c r="J334" s="805"/>
      <c r="K334" s="805">
        <v>120.15899999999999</v>
      </c>
      <c r="L334" s="805">
        <v>266.34300000000002</v>
      </c>
      <c r="M334" s="805"/>
      <c r="N334" s="805">
        <v>48788.496982999997</v>
      </c>
      <c r="O334" s="576">
        <v>1389.8034470000057</v>
      </c>
      <c r="P334" s="805">
        <v>1389.719331</v>
      </c>
      <c r="Q334" s="805">
        <v>8.4115999999999996E-2</v>
      </c>
    </row>
    <row r="335" spans="1:17">
      <c r="A335" s="769"/>
      <c r="B335" s="782" t="s">
        <v>1441</v>
      </c>
      <c r="C335" s="805">
        <v>1238.6714300000001</v>
      </c>
      <c r="D335" s="807">
        <v>36586.972500000003</v>
      </c>
      <c r="E335" s="805">
        <v>28365.7981</v>
      </c>
      <c r="F335" s="805">
        <v>8315.01</v>
      </c>
      <c r="G335" s="805"/>
      <c r="H335" s="805"/>
      <c r="I335" s="805"/>
      <c r="J335" s="805"/>
      <c r="K335" s="805">
        <v>93.835499999999996</v>
      </c>
      <c r="L335" s="805">
        <v>1.0000000000331966E-4</v>
      </c>
      <c r="M335" s="805"/>
      <c r="N335" s="805">
        <v>34412.782381999998</v>
      </c>
      <c r="O335" s="576">
        <v>3412.861548000008</v>
      </c>
      <c r="P335" s="805">
        <v>3328.6596080000004</v>
      </c>
      <c r="Q335" s="805">
        <v>84.201939999999993</v>
      </c>
    </row>
    <row r="336" spans="1:17">
      <c r="A336" s="769"/>
      <c r="B336" s="782" t="s">
        <v>1442</v>
      </c>
      <c r="C336" s="805">
        <v>46.317214999999997</v>
      </c>
      <c r="D336" s="807">
        <v>23487.592999999997</v>
      </c>
      <c r="E336" s="805">
        <v>15396.604185</v>
      </c>
      <c r="F336" s="805">
        <v>9933.16</v>
      </c>
      <c r="G336" s="805"/>
      <c r="H336" s="805"/>
      <c r="I336" s="805"/>
      <c r="J336" s="805"/>
      <c r="K336" s="805">
        <v>136.935</v>
      </c>
      <c r="L336" s="805">
        <v>1705.236185</v>
      </c>
      <c r="M336" s="805"/>
      <c r="N336" s="805">
        <v>22964.596731000001</v>
      </c>
      <c r="O336" s="576">
        <v>569.31348399999479</v>
      </c>
      <c r="P336" s="805">
        <v>510.57721900000001</v>
      </c>
      <c r="Q336" s="805">
        <v>58.736265000000003</v>
      </c>
    </row>
    <row r="337" spans="1:17">
      <c r="A337" s="769"/>
      <c r="B337" s="782" t="s">
        <v>1443</v>
      </c>
      <c r="C337" s="805">
        <v>56.442473999999997</v>
      </c>
      <c r="D337" s="807">
        <v>32359.086720000003</v>
      </c>
      <c r="E337" s="805">
        <v>19434.723000000002</v>
      </c>
      <c r="F337" s="805">
        <v>15554.33</v>
      </c>
      <c r="G337" s="805"/>
      <c r="H337" s="805"/>
      <c r="I337" s="805"/>
      <c r="J337" s="805"/>
      <c r="K337" s="805">
        <v>316.18039999999996</v>
      </c>
      <c r="L337" s="805">
        <v>2313.7858800000004</v>
      </c>
      <c r="M337" s="805"/>
      <c r="N337" s="805">
        <v>31551.546155</v>
      </c>
      <c r="O337" s="576">
        <v>863.98303900000246</v>
      </c>
      <c r="P337" s="805">
        <v>851.78303900000003</v>
      </c>
      <c r="Q337" s="805">
        <v>12.2</v>
      </c>
    </row>
    <row r="338" spans="1:17">
      <c r="A338" s="769"/>
      <c r="B338" s="782" t="s">
        <v>1444</v>
      </c>
      <c r="C338" s="805">
        <v>98.233360000000005</v>
      </c>
      <c r="D338" s="807">
        <v>39343.270856000003</v>
      </c>
      <c r="E338" s="805">
        <v>22955.002</v>
      </c>
      <c r="F338" s="805">
        <v>17593.61</v>
      </c>
      <c r="G338" s="805"/>
      <c r="H338" s="805"/>
      <c r="I338" s="805"/>
      <c r="J338" s="805"/>
      <c r="K338" s="805">
        <v>179.2252</v>
      </c>
      <c r="L338" s="805">
        <v>1026.1159439999999</v>
      </c>
      <c r="M338" s="805"/>
      <c r="N338" s="805">
        <v>38462.795886</v>
      </c>
      <c r="O338" s="576">
        <v>978.7083300000013</v>
      </c>
      <c r="P338" s="805">
        <v>957.28033000000005</v>
      </c>
      <c r="Q338" s="805">
        <v>21.428000000000001</v>
      </c>
    </row>
    <row r="339" spans="1:17">
      <c r="A339" s="769"/>
      <c r="B339" s="782" t="s">
        <v>1445</v>
      </c>
      <c r="C339" s="805">
        <v>187.40280000000001</v>
      </c>
      <c r="D339" s="807">
        <v>22519.580872000002</v>
      </c>
      <c r="E339" s="805">
        <v>12834.914000000001</v>
      </c>
      <c r="F339" s="805">
        <v>10603.13</v>
      </c>
      <c r="G339" s="805"/>
      <c r="H339" s="805"/>
      <c r="I339" s="805"/>
      <c r="J339" s="805"/>
      <c r="K339" s="805">
        <v>110.6285</v>
      </c>
      <c r="L339" s="805">
        <v>807.83462800000007</v>
      </c>
      <c r="M339" s="805"/>
      <c r="N339" s="805">
        <v>22618.897271999998</v>
      </c>
      <c r="O339" s="576">
        <v>88.086400000003778</v>
      </c>
      <c r="P339" s="805"/>
      <c r="Q339" s="805">
        <v>88.086399999999998</v>
      </c>
    </row>
    <row r="340" spans="1:17">
      <c r="A340" s="769"/>
      <c r="B340" s="782" t="s">
        <v>1446</v>
      </c>
      <c r="C340" s="805">
        <v>504.1</v>
      </c>
      <c r="D340" s="807">
        <v>17906.841</v>
      </c>
      <c r="E340" s="805">
        <v>12894.007</v>
      </c>
      <c r="F340" s="805">
        <v>5026.3100000000004</v>
      </c>
      <c r="G340" s="805"/>
      <c r="H340" s="805"/>
      <c r="I340" s="805"/>
      <c r="J340" s="805"/>
      <c r="K340" s="805">
        <v>13.476000000000001</v>
      </c>
      <c r="L340" s="805">
        <v>0</v>
      </c>
      <c r="M340" s="805"/>
      <c r="N340" s="805">
        <v>17971.808000000001</v>
      </c>
      <c r="O340" s="576">
        <v>439.13299999999799</v>
      </c>
      <c r="P340" s="805">
        <v>425</v>
      </c>
      <c r="Q340" s="805">
        <v>14.132999999999999</v>
      </c>
    </row>
    <row r="341" spans="1:17">
      <c r="A341" s="769"/>
      <c r="B341" s="782" t="s">
        <v>1824</v>
      </c>
      <c r="C341" s="805"/>
      <c r="D341" s="807">
        <v>2407.52</v>
      </c>
      <c r="E341" s="805">
        <v>2000.59</v>
      </c>
      <c r="F341" s="805">
        <v>406.93</v>
      </c>
      <c r="G341" s="805"/>
      <c r="H341" s="805"/>
      <c r="I341" s="805"/>
      <c r="J341" s="805"/>
      <c r="K341" s="805"/>
      <c r="L341" s="805"/>
      <c r="M341" s="805"/>
      <c r="N341" s="805">
        <v>2405.9610000000002</v>
      </c>
      <c r="O341" s="576">
        <v>1.5589999999997417</v>
      </c>
      <c r="P341" s="805"/>
      <c r="Q341" s="805">
        <v>1.5589999999999999</v>
      </c>
    </row>
    <row r="342" spans="1:17">
      <c r="A342" s="769"/>
      <c r="B342" s="782" t="s">
        <v>1825</v>
      </c>
      <c r="C342" s="805">
        <v>400</v>
      </c>
      <c r="D342" s="807">
        <v>2569.2511999999997</v>
      </c>
      <c r="E342" s="805">
        <v>2575.8600459999998</v>
      </c>
      <c r="F342" s="805"/>
      <c r="G342" s="805"/>
      <c r="H342" s="805"/>
      <c r="I342" s="805"/>
      <c r="J342" s="805"/>
      <c r="K342" s="805">
        <v>6.6087999999999996</v>
      </c>
      <c r="L342" s="805">
        <v>4.6000000000212538E-5</v>
      </c>
      <c r="M342" s="805"/>
      <c r="N342" s="805">
        <v>2959.08</v>
      </c>
      <c r="O342" s="576">
        <v>10.171199999999772</v>
      </c>
      <c r="P342" s="805"/>
      <c r="Q342" s="805">
        <v>10.171200000000001</v>
      </c>
    </row>
    <row r="343" spans="1:17">
      <c r="A343" s="769"/>
      <c r="B343" s="782" t="s">
        <v>2425</v>
      </c>
      <c r="C343" s="805"/>
      <c r="D343" s="807">
        <v>8675.1520060000003</v>
      </c>
      <c r="E343" s="805">
        <v>8675.1905920000008</v>
      </c>
      <c r="F343" s="805"/>
      <c r="G343" s="805"/>
      <c r="H343" s="805"/>
      <c r="I343" s="805"/>
      <c r="J343" s="805"/>
      <c r="K343" s="805"/>
      <c r="L343" s="805">
        <v>3.8586000000000002E-2</v>
      </c>
      <c r="M343" s="805"/>
      <c r="N343" s="805">
        <v>8669.2443860000003</v>
      </c>
      <c r="O343" s="576">
        <v>5.9076199999999517</v>
      </c>
      <c r="P343" s="805"/>
      <c r="Q343" s="805">
        <v>5.9076199999999996</v>
      </c>
    </row>
    <row r="344" spans="1:17">
      <c r="A344" s="769"/>
      <c r="B344" s="782" t="s">
        <v>1826</v>
      </c>
      <c r="C344" s="805"/>
      <c r="D344" s="807">
        <v>5530.96</v>
      </c>
      <c r="E344" s="805">
        <v>5611.58</v>
      </c>
      <c r="F344" s="805">
        <v>176.83</v>
      </c>
      <c r="G344" s="805"/>
      <c r="H344" s="805"/>
      <c r="I344" s="805"/>
      <c r="J344" s="805"/>
      <c r="K344" s="805"/>
      <c r="L344" s="805">
        <v>257.45</v>
      </c>
      <c r="M344" s="805"/>
      <c r="N344" s="805">
        <v>5530.96</v>
      </c>
      <c r="O344" s="576">
        <v>0</v>
      </c>
      <c r="P344" s="805"/>
      <c r="Q344" s="805"/>
    </row>
    <row r="345" spans="1:17">
      <c r="A345" s="769"/>
      <c r="B345" s="782" t="s">
        <v>1703</v>
      </c>
      <c r="C345" s="805">
        <v>118.91500000000001</v>
      </c>
      <c r="D345" s="807">
        <v>13557.9192</v>
      </c>
      <c r="E345" s="805">
        <v>13311.493021</v>
      </c>
      <c r="F345" s="805">
        <v>550.49</v>
      </c>
      <c r="G345" s="805"/>
      <c r="H345" s="805"/>
      <c r="I345" s="805"/>
      <c r="J345" s="805"/>
      <c r="K345" s="805">
        <v>233.84880000000001</v>
      </c>
      <c r="L345" s="805">
        <v>70.21502099999995</v>
      </c>
      <c r="M345" s="805"/>
      <c r="N345" s="805">
        <v>13044.534783999999</v>
      </c>
      <c r="O345" s="576">
        <v>632.29941600000166</v>
      </c>
      <c r="P345" s="805">
        <v>425</v>
      </c>
      <c r="Q345" s="805">
        <v>207.29941600000001</v>
      </c>
    </row>
    <row r="346" spans="1:17">
      <c r="A346" s="769"/>
      <c r="B346" s="782" t="s">
        <v>1452</v>
      </c>
      <c r="C346" s="805"/>
      <c r="D346" s="807">
        <v>854.78499999999997</v>
      </c>
      <c r="E346" s="805">
        <v>1313.1849999999999</v>
      </c>
      <c r="F346" s="805"/>
      <c r="G346" s="805"/>
      <c r="H346" s="805"/>
      <c r="I346" s="805"/>
      <c r="J346" s="805"/>
      <c r="K346" s="805"/>
      <c r="L346" s="805">
        <v>458.4</v>
      </c>
      <c r="M346" s="805"/>
      <c r="N346" s="805">
        <v>554.78499999999997</v>
      </c>
      <c r="O346" s="576">
        <v>300</v>
      </c>
      <c r="P346" s="805">
        <v>300</v>
      </c>
      <c r="Q346" s="805"/>
    </row>
    <row r="347" spans="1:17">
      <c r="A347" s="769"/>
      <c r="B347" s="782" t="s">
        <v>1336</v>
      </c>
      <c r="C347" s="805">
        <v>147</v>
      </c>
      <c r="D347" s="807">
        <v>1521.078</v>
      </c>
      <c r="E347" s="805">
        <v>1643.4200429999999</v>
      </c>
      <c r="F347" s="805">
        <v>113.2</v>
      </c>
      <c r="G347" s="805"/>
      <c r="H347" s="805"/>
      <c r="I347" s="805"/>
      <c r="J347" s="805"/>
      <c r="K347" s="805">
        <v>20.129000000000001</v>
      </c>
      <c r="L347" s="805">
        <v>215.41304299999999</v>
      </c>
      <c r="M347" s="805"/>
      <c r="N347" s="805">
        <v>1545.873957</v>
      </c>
      <c r="O347" s="576">
        <v>122.20404299999996</v>
      </c>
      <c r="P347" s="805">
        <v>121</v>
      </c>
      <c r="Q347" s="805">
        <v>1.204043</v>
      </c>
    </row>
    <row r="348" spans="1:17">
      <c r="A348" s="580" t="s">
        <v>98</v>
      </c>
      <c r="B348" s="780" t="s">
        <v>1669</v>
      </c>
      <c r="C348" s="581">
        <v>2156.6976410000002</v>
      </c>
      <c r="D348" s="581">
        <v>30644.309100000002</v>
      </c>
      <c r="E348" s="581">
        <v>30476.481196000001</v>
      </c>
      <c r="F348" s="581">
        <v>1081.3499999999999</v>
      </c>
      <c r="G348" s="581">
        <v>0</v>
      </c>
      <c r="H348" s="581">
        <v>0</v>
      </c>
      <c r="I348" s="581">
        <v>0</v>
      </c>
      <c r="J348" s="581">
        <v>0</v>
      </c>
      <c r="K348" s="581">
        <v>913.52209599999992</v>
      </c>
      <c r="L348" s="581">
        <v>0</v>
      </c>
      <c r="M348" s="581">
        <v>0</v>
      </c>
      <c r="N348" s="581">
        <v>32017.747760999999</v>
      </c>
      <c r="O348" s="581">
        <v>783.25898000000132</v>
      </c>
      <c r="P348" s="581">
        <v>622.15542500000004</v>
      </c>
      <c r="Q348" s="581">
        <v>161.103555</v>
      </c>
    </row>
    <row r="349" spans="1:17">
      <c r="A349" s="769"/>
      <c r="B349" s="781" t="s">
        <v>1457</v>
      </c>
      <c r="C349" s="805"/>
      <c r="D349" s="807">
        <v>1449.5</v>
      </c>
      <c r="E349" s="805">
        <v>1559.5</v>
      </c>
      <c r="F349" s="805"/>
      <c r="G349" s="805"/>
      <c r="H349" s="805"/>
      <c r="I349" s="805"/>
      <c r="J349" s="805"/>
      <c r="K349" s="805">
        <v>110</v>
      </c>
      <c r="L349" s="805"/>
      <c r="M349" s="805"/>
      <c r="N349" s="805">
        <v>1022.357036</v>
      </c>
      <c r="O349" s="576">
        <v>427.14296400000001</v>
      </c>
      <c r="P349" s="805">
        <v>425</v>
      </c>
      <c r="Q349" s="805">
        <v>2.1429640000000001</v>
      </c>
    </row>
    <row r="350" spans="1:17">
      <c r="A350" s="769"/>
      <c r="B350" s="782" t="s">
        <v>1440</v>
      </c>
      <c r="C350" s="805">
        <v>1361.5032450000001</v>
      </c>
      <c r="D350" s="807">
        <v>4821.6226000000015</v>
      </c>
      <c r="E350" s="805">
        <v>4517.9120000000012</v>
      </c>
      <c r="F350" s="805">
        <v>395.33</v>
      </c>
      <c r="G350" s="805"/>
      <c r="H350" s="805"/>
      <c r="I350" s="805"/>
      <c r="J350" s="805"/>
      <c r="K350" s="805">
        <v>91.619399999999999</v>
      </c>
      <c r="L350" s="805"/>
      <c r="M350" s="805"/>
      <c r="N350" s="805">
        <v>6055.411024</v>
      </c>
      <c r="O350" s="576">
        <v>127.71482100000139</v>
      </c>
      <c r="P350" s="805">
        <v>96.933256</v>
      </c>
      <c r="Q350" s="805">
        <v>30.781565000000001</v>
      </c>
    </row>
    <row r="351" spans="1:17">
      <c r="A351" s="769"/>
      <c r="B351" s="782" t="s">
        <v>1441</v>
      </c>
      <c r="C351" s="805"/>
      <c r="D351" s="807">
        <v>3788.3040000000005</v>
      </c>
      <c r="E351" s="805">
        <v>3601.2970000000005</v>
      </c>
      <c r="F351" s="805">
        <v>267.58</v>
      </c>
      <c r="G351" s="805"/>
      <c r="H351" s="805"/>
      <c r="I351" s="805"/>
      <c r="J351" s="805"/>
      <c r="K351" s="805">
        <v>80.572999999999993</v>
      </c>
      <c r="L351" s="805"/>
      <c r="M351" s="805"/>
      <c r="N351" s="805">
        <v>3752.3522480000001</v>
      </c>
      <c r="O351" s="576">
        <v>35.951752000000397</v>
      </c>
      <c r="P351" s="805">
        <v>0.74</v>
      </c>
      <c r="Q351" s="805">
        <v>35.211751999999997</v>
      </c>
    </row>
    <row r="352" spans="1:17">
      <c r="A352" s="769"/>
      <c r="B352" s="782" t="s">
        <v>1442</v>
      </c>
      <c r="C352" s="805"/>
      <c r="D352" s="807">
        <v>2023.972</v>
      </c>
      <c r="E352" s="805">
        <v>2031.739176</v>
      </c>
      <c r="F352" s="805"/>
      <c r="G352" s="805"/>
      <c r="H352" s="805"/>
      <c r="I352" s="805"/>
      <c r="J352" s="805"/>
      <c r="K352" s="805">
        <v>7.7671760000000001</v>
      </c>
      <c r="L352" s="805"/>
      <c r="M352" s="805"/>
      <c r="N352" s="805">
        <v>1958.2866959999999</v>
      </c>
      <c r="O352" s="576">
        <v>65.685304000000087</v>
      </c>
      <c r="P352" s="805">
        <v>59.607613000000001</v>
      </c>
      <c r="Q352" s="805">
        <v>6.0776909999999997</v>
      </c>
    </row>
    <row r="353" spans="1:17">
      <c r="A353" s="769"/>
      <c r="B353" s="782" t="s">
        <v>1443</v>
      </c>
      <c r="C353" s="805"/>
      <c r="D353" s="807">
        <v>3355.5649000000003</v>
      </c>
      <c r="E353" s="805">
        <v>3509.2160000000003</v>
      </c>
      <c r="F353" s="805"/>
      <c r="G353" s="805"/>
      <c r="H353" s="805"/>
      <c r="I353" s="805"/>
      <c r="J353" s="805"/>
      <c r="K353" s="805">
        <v>153.65110000000001</v>
      </c>
      <c r="L353" s="805"/>
      <c r="M353" s="805"/>
      <c r="N353" s="805">
        <v>3342.6395859999998</v>
      </c>
      <c r="O353" s="576">
        <v>12.925314000000526</v>
      </c>
      <c r="P353" s="805"/>
      <c r="Q353" s="805">
        <v>12.925314</v>
      </c>
    </row>
    <row r="354" spans="1:17">
      <c r="A354" s="769"/>
      <c r="B354" s="782" t="s">
        <v>1444</v>
      </c>
      <c r="C354" s="805"/>
      <c r="D354" s="807">
        <v>3702.3593999999994</v>
      </c>
      <c r="E354" s="805">
        <v>3721.9930199999994</v>
      </c>
      <c r="F354" s="805"/>
      <c r="G354" s="805"/>
      <c r="H354" s="805"/>
      <c r="I354" s="805"/>
      <c r="J354" s="805"/>
      <c r="K354" s="805">
        <v>19.633620000000001</v>
      </c>
      <c r="L354" s="805"/>
      <c r="M354" s="805"/>
      <c r="N354" s="805">
        <v>3702.3593799999999</v>
      </c>
      <c r="O354" s="576">
        <v>1.9999999494757503E-5</v>
      </c>
      <c r="P354" s="805"/>
      <c r="Q354" s="805">
        <v>2.0000000000000002E-5</v>
      </c>
    </row>
    <row r="355" spans="1:17">
      <c r="A355" s="769"/>
      <c r="B355" s="782" t="s">
        <v>1439</v>
      </c>
      <c r="C355" s="805">
        <v>481.92826400000001</v>
      </c>
      <c r="D355" s="807">
        <v>3805.5889999999999</v>
      </c>
      <c r="E355" s="805">
        <v>3797.37</v>
      </c>
      <c r="F355" s="805">
        <v>223.3</v>
      </c>
      <c r="G355" s="805"/>
      <c r="H355" s="805"/>
      <c r="I355" s="805"/>
      <c r="J355" s="805"/>
      <c r="K355" s="805">
        <v>215.08100000000002</v>
      </c>
      <c r="L355" s="805"/>
      <c r="M355" s="805"/>
      <c r="N355" s="805">
        <v>4255.2607550000002</v>
      </c>
      <c r="O355" s="576">
        <v>32.256508999999824</v>
      </c>
      <c r="P355" s="805"/>
      <c r="Q355" s="805">
        <v>32.256509000000001</v>
      </c>
    </row>
    <row r="356" spans="1:17">
      <c r="A356" s="769"/>
      <c r="B356" s="782" t="s">
        <v>1438</v>
      </c>
      <c r="C356" s="805">
        <v>313.26613200000003</v>
      </c>
      <c r="D356" s="807">
        <v>3933.3732</v>
      </c>
      <c r="E356" s="805">
        <v>3953.2849999999999</v>
      </c>
      <c r="F356" s="805">
        <v>195.14</v>
      </c>
      <c r="G356" s="805"/>
      <c r="H356" s="805"/>
      <c r="I356" s="805"/>
      <c r="J356" s="805"/>
      <c r="K356" s="805">
        <v>215.05180000000001</v>
      </c>
      <c r="L356" s="805"/>
      <c r="M356" s="805"/>
      <c r="N356" s="805">
        <v>4167.5511759999999</v>
      </c>
      <c r="O356" s="576">
        <v>79.088155999999799</v>
      </c>
      <c r="P356" s="805">
        <v>39.874555999999998</v>
      </c>
      <c r="Q356" s="805">
        <v>39.2136</v>
      </c>
    </row>
    <row r="357" spans="1:17">
      <c r="A357" s="769"/>
      <c r="B357" s="782" t="s">
        <v>1446</v>
      </c>
      <c r="C357" s="805"/>
      <c r="D357" s="807">
        <v>1346.8040000000001</v>
      </c>
      <c r="E357" s="805">
        <v>1348.1490000000001</v>
      </c>
      <c r="F357" s="805"/>
      <c r="G357" s="805"/>
      <c r="H357" s="805"/>
      <c r="I357" s="805"/>
      <c r="J357" s="805"/>
      <c r="K357" s="805">
        <v>1.345</v>
      </c>
      <c r="L357" s="805"/>
      <c r="M357" s="805"/>
      <c r="N357" s="805">
        <v>1346.8040000000001</v>
      </c>
      <c r="O357" s="576">
        <v>0</v>
      </c>
      <c r="P357" s="805"/>
      <c r="Q357" s="805"/>
    </row>
    <row r="358" spans="1:17">
      <c r="A358" s="769"/>
      <c r="B358" s="782" t="s">
        <v>1445</v>
      </c>
      <c r="C358" s="805"/>
      <c r="D358" s="807">
        <v>2417.2199999999998</v>
      </c>
      <c r="E358" s="805">
        <v>2436.02</v>
      </c>
      <c r="F358" s="805"/>
      <c r="G358" s="805"/>
      <c r="H358" s="805"/>
      <c r="I358" s="805"/>
      <c r="J358" s="805"/>
      <c r="K358" s="805">
        <v>18.8</v>
      </c>
      <c r="L358" s="805"/>
      <c r="M358" s="805"/>
      <c r="N358" s="805">
        <v>2414.72586</v>
      </c>
      <c r="O358" s="576">
        <v>2.4941399999997884</v>
      </c>
      <c r="P358" s="805"/>
      <c r="Q358" s="805">
        <v>2.4941399999999998</v>
      </c>
    </row>
    <row r="359" spans="1:17" s="553" customFormat="1" ht="31.5">
      <c r="A359" s="580" t="s">
        <v>100</v>
      </c>
      <c r="B359" s="780" t="s">
        <v>1827</v>
      </c>
      <c r="C359" s="814">
        <v>0</v>
      </c>
      <c r="D359" s="815">
        <v>0</v>
      </c>
      <c r="E359" s="815">
        <v>0</v>
      </c>
      <c r="F359" s="815">
        <v>0</v>
      </c>
      <c r="G359" s="815">
        <v>0</v>
      </c>
      <c r="H359" s="815">
        <v>0</v>
      </c>
      <c r="I359" s="815">
        <v>0</v>
      </c>
      <c r="J359" s="815">
        <v>0</v>
      </c>
      <c r="K359" s="815">
        <v>0</v>
      </c>
      <c r="L359" s="815">
        <v>0</v>
      </c>
      <c r="M359" s="815">
        <v>0</v>
      </c>
      <c r="N359" s="815">
        <v>0</v>
      </c>
      <c r="O359" s="815">
        <v>0</v>
      </c>
      <c r="P359" s="815">
        <v>0</v>
      </c>
      <c r="Q359" s="815">
        <v>0</v>
      </c>
    </row>
    <row r="360" spans="1:17">
      <c r="A360" s="769"/>
      <c r="B360" s="781" t="s">
        <v>1433</v>
      </c>
      <c r="C360" s="805"/>
      <c r="D360" s="807">
        <v>0</v>
      </c>
      <c r="E360" s="805"/>
      <c r="F360" s="805"/>
      <c r="G360" s="805"/>
      <c r="H360" s="805"/>
      <c r="I360" s="805"/>
      <c r="J360" s="805"/>
      <c r="K360" s="805"/>
      <c r="L360" s="805"/>
      <c r="M360" s="805"/>
      <c r="N360" s="805"/>
      <c r="O360" s="576">
        <v>0</v>
      </c>
      <c r="P360" s="805"/>
      <c r="Q360" s="805"/>
    </row>
    <row r="361" spans="1:17" ht="63" hidden="1">
      <c r="A361" s="580" t="s">
        <v>102</v>
      </c>
      <c r="B361" s="780" t="s">
        <v>1828</v>
      </c>
      <c r="C361" s="815">
        <v>0</v>
      </c>
      <c r="D361" s="815">
        <v>0</v>
      </c>
      <c r="E361" s="815">
        <v>0</v>
      </c>
      <c r="F361" s="815">
        <v>0</v>
      </c>
      <c r="G361" s="815">
        <v>0</v>
      </c>
      <c r="H361" s="815">
        <v>0</v>
      </c>
      <c r="I361" s="815">
        <v>0</v>
      </c>
      <c r="J361" s="815">
        <v>0</v>
      </c>
      <c r="K361" s="815">
        <v>0</v>
      </c>
      <c r="L361" s="815">
        <v>0</v>
      </c>
      <c r="M361" s="815">
        <v>0</v>
      </c>
      <c r="N361" s="815">
        <v>0</v>
      </c>
      <c r="O361" s="815">
        <v>0</v>
      </c>
      <c r="P361" s="815">
        <v>0</v>
      </c>
      <c r="Q361" s="815">
        <v>0</v>
      </c>
    </row>
    <row r="362" spans="1:17" hidden="1">
      <c r="A362" s="769"/>
      <c r="B362" s="801" t="s">
        <v>1435</v>
      </c>
      <c r="C362" s="807"/>
      <c r="D362" s="807">
        <v>0</v>
      </c>
      <c r="E362" s="807"/>
      <c r="F362" s="807"/>
      <c r="G362" s="807"/>
      <c r="H362" s="807"/>
      <c r="I362" s="807"/>
      <c r="J362" s="807"/>
      <c r="K362" s="807"/>
      <c r="L362" s="807"/>
      <c r="M362" s="807"/>
      <c r="N362" s="807"/>
      <c r="O362" s="576">
        <v>0</v>
      </c>
      <c r="P362" s="807"/>
      <c r="Q362" s="807"/>
    </row>
    <row r="363" spans="1:17" hidden="1">
      <c r="A363" s="769"/>
      <c r="B363" s="801" t="s">
        <v>1436</v>
      </c>
      <c r="C363" s="807"/>
      <c r="D363" s="807">
        <v>0</v>
      </c>
      <c r="E363" s="807"/>
      <c r="F363" s="807"/>
      <c r="G363" s="807"/>
      <c r="H363" s="807"/>
      <c r="I363" s="807"/>
      <c r="J363" s="807"/>
      <c r="K363" s="807"/>
      <c r="L363" s="807"/>
      <c r="M363" s="807"/>
      <c r="N363" s="807"/>
      <c r="O363" s="576">
        <v>0</v>
      </c>
      <c r="P363" s="807"/>
      <c r="Q363" s="807"/>
    </row>
    <row r="364" spans="1:17" hidden="1">
      <c r="A364" s="769"/>
      <c r="B364" s="801" t="s">
        <v>1317</v>
      </c>
      <c r="C364" s="807"/>
      <c r="D364" s="807">
        <v>0</v>
      </c>
      <c r="E364" s="807"/>
      <c r="F364" s="807"/>
      <c r="G364" s="807"/>
      <c r="H364" s="807"/>
      <c r="I364" s="807"/>
      <c r="J364" s="807"/>
      <c r="K364" s="807"/>
      <c r="L364" s="807"/>
      <c r="M364" s="807"/>
      <c r="N364" s="807"/>
      <c r="O364" s="576">
        <v>0</v>
      </c>
      <c r="P364" s="807"/>
      <c r="Q364" s="807"/>
    </row>
    <row r="365" spans="1:17" hidden="1">
      <c r="A365" s="769"/>
      <c r="B365" s="801" t="s">
        <v>1437</v>
      </c>
      <c r="C365" s="807"/>
      <c r="D365" s="807">
        <v>0</v>
      </c>
      <c r="E365" s="807"/>
      <c r="F365" s="807"/>
      <c r="G365" s="807"/>
      <c r="H365" s="807"/>
      <c r="I365" s="807"/>
      <c r="J365" s="807"/>
      <c r="K365" s="807"/>
      <c r="L365" s="807"/>
      <c r="M365" s="807"/>
      <c r="N365" s="807"/>
      <c r="O365" s="576">
        <v>0</v>
      </c>
      <c r="P365" s="807"/>
      <c r="Q365" s="807"/>
    </row>
    <row r="366" spans="1:17" hidden="1">
      <c r="A366" s="769"/>
      <c r="B366" s="801" t="s">
        <v>1319</v>
      </c>
      <c r="C366" s="807"/>
      <c r="D366" s="807">
        <v>0</v>
      </c>
      <c r="E366" s="807"/>
      <c r="F366" s="807"/>
      <c r="G366" s="807"/>
      <c r="H366" s="807"/>
      <c r="I366" s="807"/>
      <c r="J366" s="807"/>
      <c r="K366" s="807"/>
      <c r="L366" s="807"/>
      <c r="M366" s="807"/>
      <c r="N366" s="807"/>
      <c r="O366" s="576">
        <v>0</v>
      </c>
      <c r="P366" s="807"/>
      <c r="Q366" s="807"/>
    </row>
    <row r="367" spans="1:17" hidden="1">
      <c r="A367" s="769"/>
      <c r="B367" s="782" t="s">
        <v>1825</v>
      </c>
      <c r="C367" s="807"/>
      <c r="D367" s="807">
        <v>0</v>
      </c>
      <c r="E367" s="807"/>
      <c r="F367" s="807"/>
      <c r="G367" s="807"/>
      <c r="H367" s="807"/>
      <c r="I367" s="807"/>
      <c r="J367" s="807"/>
      <c r="K367" s="807"/>
      <c r="L367" s="807"/>
      <c r="M367" s="807"/>
      <c r="N367" s="807"/>
      <c r="O367" s="576">
        <v>0</v>
      </c>
      <c r="P367" s="807"/>
      <c r="Q367" s="807"/>
    </row>
    <row r="368" spans="1:17" hidden="1">
      <c r="A368" s="769"/>
      <c r="B368" s="782" t="s">
        <v>1826</v>
      </c>
      <c r="C368" s="807"/>
      <c r="D368" s="807">
        <v>0</v>
      </c>
      <c r="E368" s="807"/>
      <c r="F368" s="807"/>
      <c r="G368" s="807"/>
      <c r="H368" s="807"/>
      <c r="I368" s="807"/>
      <c r="J368" s="807"/>
      <c r="K368" s="807"/>
      <c r="L368" s="807"/>
      <c r="M368" s="807"/>
      <c r="N368" s="807"/>
      <c r="O368" s="576">
        <v>0</v>
      </c>
      <c r="P368" s="807"/>
      <c r="Q368" s="807"/>
    </row>
    <row r="369" spans="1:17" hidden="1">
      <c r="A369" s="769"/>
      <c r="B369" s="782" t="s">
        <v>1703</v>
      </c>
      <c r="C369" s="807"/>
      <c r="D369" s="807">
        <v>0</v>
      </c>
      <c r="E369" s="807"/>
      <c r="F369" s="807"/>
      <c r="G369" s="807"/>
      <c r="H369" s="807"/>
      <c r="I369" s="807"/>
      <c r="J369" s="807"/>
      <c r="K369" s="807"/>
      <c r="L369" s="807"/>
      <c r="M369" s="807"/>
      <c r="N369" s="807"/>
      <c r="O369" s="576">
        <v>0</v>
      </c>
      <c r="P369" s="807"/>
      <c r="Q369" s="807"/>
    </row>
    <row r="370" spans="1:17" hidden="1">
      <c r="A370" s="769"/>
      <c r="B370" s="782" t="s">
        <v>1452</v>
      </c>
      <c r="C370" s="807"/>
      <c r="D370" s="807">
        <v>0</v>
      </c>
      <c r="E370" s="807"/>
      <c r="F370" s="807"/>
      <c r="G370" s="807"/>
      <c r="H370" s="807"/>
      <c r="I370" s="807"/>
      <c r="J370" s="807"/>
      <c r="K370" s="807"/>
      <c r="L370" s="807"/>
      <c r="M370" s="807"/>
      <c r="N370" s="807"/>
      <c r="O370" s="576">
        <v>0</v>
      </c>
      <c r="P370" s="807"/>
      <c r="Q370" s="807"/>
    </row>
    <row r="371" spans="1:17" hidden="1">
      <c r="A371" s="769"/>
      <c r="B371" s="782" t="s">
        <v>1336</v>
      </c>
      <c r="C371" s="807"/>
      <c r="D371" s="807">
        <v>0</v>
      </c>
      <c r="E371" s="807"/>
      <c r="F371" s="807"/>
      <c r="G371" s="807"/>
      <c r="H371" s="807"/>
      <c r="I371" s="807"/>
      <c r="J371" s="807"/>
      <c r="K371" s="807"/>
      <c r="L371" s="807"/>
      <c r="M371" s="807"/>
      <c r="N371" s="807"/>
      <c r="O371" s="576">
        <v>0</v>
      </c>
      <c r="P371" s="807"/>
      <c r="Q371" s="807"/>
    </row>
    <row r="372" spans="1:17" hidden="1">
      <c r="A372" s="769"/>
      <c r="B372" s="782" t="s">
        <v>1824</v>
      </c>
      <c r="C372" s="576"/>
      <c r="D372" s="807">
        <v>0</v>
      </c>
      <c r="E372" s="805"/>
      <c r="F372" s="805"/>
      <c r="G372" s="805"/>
      <c r="H372" s="805"/>
      <c r="I372" s="805"/>
      <c r="J372" s="805"/>
      <c r="K372" s="805"/>
      <c r="L372" s="805"/>
      <c r="M372" s="805"/>
      <c r="N372" s="805"/>
      <c r="O372" s="576">
        <v>0</v>
      </c>
      <c r="P372" s="805"/>
      <c r="Q372" s="805"/>
    </row>
    <row r="373" spans="1:17" hidden="1">
      <c r="A373" s="769"/>
      <c r="B373" s="782" t="s">
        <v>1438</v>
      </c>
      <c r="C373" s="805"/>
      <c r="D373" s="807">
        <v>0</v>
      </c>
      <c r="E373" s="805"/>
      <c r="F373" s="805"/>
      <c r="G373" s="805"/>
      <c r="H373" s="805"/>
      <c r="I373" s="805"/>
      <c r="J373" s="805"/>
      <c r="K373" s="805"/>
      <c r="L373" s="805"/>
      <c r="M373" s="805"/>
      <c r="N373" s="805"/>
      <c r="O373" s="576">
        <v>0</v>
      </c>
      <c r="P373" s="805"/>
      <c r="Q373" s="805"/>
    </row>
    <row r="374" spans="1:17" hidden="1">
      <c r="A374" s="771"/>
      <c r="B374" s="782" t="s">
        <v>1439</v>
      </c>
      <c r="C374" s="805"/>
      <c r="D374" s="807">
        <v>0</v>
      </c>
      <c r="E374" s="805"/>
      <c r="F374" s="805"/>
      <c r="G374" s="805"/>
      <c r="H374" s="805"/>
      <c r="I374" s="805"/>
      <c r="J374" s="805"/>
      <c r="K374" s="805"/>
      <c r="L374" s="805"/>
      <c r="M374" s="805"/>
      <c r="N374" s="805"/>
      <c r="O374" s="576">
        <v>0</v>
      </c>
      <c r="P374" s="805"/>
      <c r="Q374" s="805"/>
    </row>
    <row r="375" spans="1:17" hidden="1">
      <c r="A375" s="771"/>
      <c r="B375" s="782" t="s">
        <v>1440</v>
      </c>
      <c r="C375" s="805"/>
      <c r="D375" s="807">
        <v>0</v>
      </c>
      <c r="E375" s="805"/>
      <c r="F375" s="805"/>
      <c r="G375" s="805"/>
      <c r="H375" s="805"/>
      <c r="I375" s="805"/>
      <c r="J375" s="805"/>
      <c r="K375" s="805"/>
      <c r="L375" s="805"/>
      <c r="M375" s="805"/>
      <c r="N375" s="805"/>
      <c r="O375" s="576">
        <v>0</v>
      </c>
      <c r="P375" s="805"/>
      <c r="Q375" s="805"/>
    </row>
    <row r="376" spans="1:17" hidden="1">
      <c r="A376" s="771"/>
      <c r="B376" s="782" t="s">
        <v>1441</v>
      </c>
      <c r="C376" s="805"/>
      <c r="D376" s="807">
        <v>0</v>
      </c>
      <c r="E376" s="805"/>
      <c r="F376" s="805"/>
      <c r="G376" s="805"/>
      <c r="H376" s="805"/>
      <c r="I376" s="805"/>
      <c r="J376" s="805"/>
      <c r="K376" s="805"/>
      <c r="L376" s="805"/>
      <c r="M376" s="805"/>
      <c r="N376" s="805"/>
      <c r="O376" s="576">
        <v>0</v>
      </c>
      <c r="P376" s="805"/>
      <c r="Q376" s="805"/>
    </row>
    <row r="377" spans="1:17" hidden="1">
      <c r="A377" s="771"/>
      <c r="B377" s="782" t="s">
        <v>1442</v>
      </c>
      <c r="C377" s="805"/>
      <c r="D377" s="807">
        <v>0</v>
      </c>
      <c r="E377" s="805"/>
      <c r="F377" s="805"/>
      <c r="G377" s="805"/>
      <c r="H377" s="805"/>
      <c r="I377" s="805"/>
      <c r="J377" s="805"/>
      <c r="K377" s="805"/>
      <c r="L377" s="805"/>
      <c r="M377" s="805"/>
      <c r="N377" s="805"/>
      <c r="O377" s="576">
        <v>0</v>
      </c>
      <c r="P377" s="805"/>
      <c r="Q377" s="805"/>
    </row>
    <row r="378" spans="1:17" hidden="1">
      <c r="A378" s="771"/>
      <c r="B378" s="782" t="s">
        <v>1443</v>
      </c>
      <c r="C378" s="805"/>
      <c r="D378" s="807">
        <v>0</v>
      </c>
      <c r="E378" s="805"/>
      <c r="F378" s="805"/>
      <c r="G378" s="805"/>
      <c r="H378" s="805"/>
      <c r="I378" s="805"/>
      <c r="J378" s="805"/>
      <c r="K378" s="805"/>
      <c r="L378" s="805"/>
      <c r="M378" s="805"/>
      <c r="N378" s="805"/>
      <c r="O378" s="576">
        <v>0</v>
      </c>
      <c r="P378" s="805"/>
      <c r="Q378" s="805"/>
    </row>
    <row r="379" spans="1:17" hidden="1">
      <c r="A379" s="580"/>
      <c r="B379" s="782" t="s">
        <v>1444</v>
      </c>
      <c r="C379" s="805"/>
      <c r="D379" s="807">
        <v>0</v>
      </c>
      <c r="E379" s="805"/>
      <c r="F379" s="805"/>
      <c r="G379" s="805"/>
      <c r="H379" s="805"/>
      <c r="I379" s="805"/>
      <c r="J379" s="805"/>
      <c r="K379" s="805"/>
      <c r="L379" s="805"/>
      <c r="M379" s="805"/>
      <c r="N379" s="805"/>
      <c r="O379" s="576">
        <v>0</v>
      </c>
      <c r="P379" s="805"/>
      <c r="Q379" s="805"/>
    </row>
    <row r="380" spans="1:17" hidden="1">
      <c r="A380" s="580"/>
      <c r="B380" s="782" t="s">
        <v>1445</v>
      </c>
      <c r="C380" s="805"/>
      <c r="D380" s="807">
        <v>0</v>
      </c>
      <c r="E380" s="805"/>
      <c r="F380" s="805"/>
      <c r="G380" s="805"/>
      <c r="H380" s="805"/>
      <c r="I380" s="805"/>
      <c r="J380" s="805"/>
      <c r="K380" s="805"/>
      <c r="L380" s="805"/>
      <c r="M380" s="805"/>
      <c r="N380" s="805"/>
      <c r="O380" s="576">
        <v>0</v>
      </c>
      <c r="P380" s="805"/>
      <c r="Q380" s="805"/>
    </row>
    <row r="381" spans="1:17" hidden="1">
      <c r="A381" s="580"/>
      <c r="B381" s="782" t="s">
        <v>1446</v>
      </c>
      <c r="C381" s="805"/>
      <c r="D381" s="807">
        <v>0</v>
      </c>
      <c r="E381" s="805"/>
      <c r="F381" s="805"/>
      <c r="G381" s="805"/>
      <c r="H381" s="805"/>
      <c r="I381" s="805"/>
      <c r="J381" s="805"/>
      <c r="K381" s="805"/>
      <c r="L381" s="805"/>
      <c r="M381" s="805"/>
      <c r="N381" s="805"/>
      <c r="O381" s="576">
        <v>0</v>
      </c>
      <c r="P381" s="805"/>
      <c r="Q381" s="805"/>
    </row>
    <row r="382" spans="1:17" hidden="1">
      <c r="A382" s="580"/>
      <c r="B382" s="782" t="s">
        <v>525</v>
      </c>
      <c r="C382" s="805"/>
      <c r="D382" s="807">
        <v>0</v>
      </c>
      <c r="E382" s="805"/>
      <c r="F382" s="805"/>
      <c r="G382" s="805"/>
      <c r="H382" s="805"/>
      <c r="I382" s="805"/>
      <c r="J382" s="805"/>
      <c r="K382" s="805"/>
      <c r="L382" s="805"/>
      <c r="M382" s="805"/>
      <c r="N382" s="805"/>
      <c r="O382" s="576">
        <v>0</v>
      </c>
      <c r="P382" s="805"/>
      <c r="Q382" s="805">
        <v>0</v>
      </c>
    </row>
    <row r="383" spans="1:17">
      <c r="A383" s="580">
        <v>2</v>
      </c>
      <c r="B383" s="783" t="s">
        <v>1471</v>
      </c>
      <c r="C383" s="814">
        <v>0</v>
      </c>
      <c r="D383" s="814">
        <v>5317</v>
      </c>
      <c r="E383" s="814">
        <v>12000</v>
      </c>
      <c r="F383" s="814"/>
      <c r="G383" s="814"/>
      <c r="H383" s="814"/>
      <c r="I383" s="814"/>
      <c r="J383" s="814"/>
      <c r="K383" s="814"/>
      <c r="L383" s="814">
        <v>6683</v>
      </c>
      <c r="M383" s="814"/>
      <c r="N383" s="814">
        <v>5312.8994139999995</v>
      </c>
      <c r="O383" s="581">
        <v>4.1005860000004759</v>
      </c>
      <c r="P383" s="814">
        <v>0</v>
      </c>
      <c r="Q383" s="805">
        <v>4.1005859999999998</v>
      </c>
    </row>
    <row r="384" spans="1:17" ht="37.5" customHeight="1">
      <c r="A384" s="580">
        <v>3</v>
      </c>
      <c r="B384" s="783" t="s">
        <v>2675</v>
      </c>
      <c r="C384" s="814"/>
      <c r="D384" s="815">
        <v>209965.77079099999</v>
      </c>
      <c r="E384" s="814">
        <v>209965.77079099999</v>
      </c>
      <c r="F384" s="814"/>
      <c r="G384" s="814"/>
      <c r="H384" s="814"/>
      <c r="I384" s="814"/>
      <c r="J384" s="814"/>
      <c r="K384" s="814"/>
      <c r="L384" s="814"/>
      <c r="M384" s="814"/>
      <c r="N384" s="814">
        <v>209965.77079099999</v>
      </c>
      <c r="O384" s="581">
        <v>0</v>
      </c>
      <c r="P384" s="805"/>
      <c r="Q384" s="814"/>
    </row>
    <row r="385" spans="1:17">
      <c r="A385" s="766" t="s">
        <v>1497</v>
      </c>
      <c r="B385" s="767" t="s">
        <v>1673</v>
      </c>
      <c r="C385" s="806">
        <v>0</v>
      </c>
      <c r="D385" s="806">
        <v>29785.473999999998</v>
      </c>
      <c r="E385" s="806">
        <v>28999.617000000002</v>
      </c>
      <c r="F385" s="806">
        <v>992.95699999999999</v>
      </c>
      <c r="G385" s="806">
        <v>41.9</v>
      </c>
      <c r="H385" s="806">
        <v>0</v>
      </c>
      <c r="I385" s="806">
        <v>0</v>
      </c>
      <c r="J385" s="806">
        <v>0</v>
      </c>
      <c r="K385" s="806">
        <v>249</v>
      </c>
      <c r="L385" s="806">
        <v>0</v>
      </c>
      <c r="M385" s="806">
        <v>0</v>
      </c>
      <c r="N385" s="806">
        <v>28912.788609000003</v>
      </c>
      <c r="O385" s="806">
        <v>872.68539100000021</v>
      </c>
      <c r="P385" s="806">
        <v>0</v>
      </c>
      <c r="Q385" s="806">
        <v>872.68539099999998</v>
      </c>
    </row>
    <row r="386" spans="1:17">
      <c r="A386" s="769">
        <v>1</v>
      </c>
      <c r="B386" s="770" t="s">
        <v>1589</v>
      </c>
      <c r="C386" s="807">
        <v>0</v>
      </c>
      <c r="D386" s="807">
        <v>23340.233999999997</v>
      </c>
      <c r="E386" s="807">
        <v>22305.377</v>
      </c>
      <c r="F386" s="807">
        <v>992.95699999999999</v>
      </c>
      <c r="G386" s="807">
        <v>41.9</v>
      </c>
      <c r="H386" s="807">
        <v>0</v>
      </c>
      <c r="I386" s="807">
        <v>0</v>
      </c>
      <c r="J386" s="807">
        <v>0</v>
      </c>
      <c r="K386" s="807">
        <v>0</v>
      </c>
      <c r="L386" s="807">
        <v>0</v>
      </c>
      <c r="M386" s="807">
        <v>0</v>
      </c>
      <c r="N386" s="807">
        <v>22969.462608999998</v>
      </c>
      <c r="O386" s="807">
        <v>370.77139100000022</v>
      </c>
      <c r="P386" s="807">
        <v>0</v>
      </c>
      <c r="Q386" s="807">
        <v>370.77139099999999</v>
      </c>
    </row>
    <row r="387" spans="1:17" ht="31.5">
      <c r="A387" s="771"/>
      <c r="B387" s="756" t="s">
        <v>1705</v>
      </c>
      <c r="C387" s="579"/>
      <c r="D387" s="791">
        <v>6379.6570000000002</v>
      </c>
      <c r="E387" s="791">
        <v>6117.4660000000003</v>
      </c>
      <c r="F387" s="791">
        <v>262.19099999999997</v>
      </c>
      <c r="G387" s="802"/>
      <c r="H387" s="802"/>
      <c r="I387" s="802"/>
      <c r="J387" s="802"/>
      <c r="K387" s="802"/>
      <c r="L387" s="802"/>
      <c r="M387" s="802"/>
      <c r="N387" s="802">
        <v>6237.9353439999995</v>
      </c>
      <c r="O387" s="579">
        <v>141.72165600000062</v>
      </c>
      <c r="P387" s="805"/>
      <c r="Q387" s="805">
        <v>141.721656</v>
      </c>
    </row>
    <row r="388" spans="1:17">
      <c r="A388" s="771"/>
      <c r="B388" s="756" t="s">
        <v>1592</v>
      </c>
      <c r="C388" s="579"/>
      <c r="D388" s="791">
        <v>4296.5190000000002</v>
      </c>
      <c r="E388" s="791">
        <v>4106.2080000000005</v>
      </c>
      <c r="F388" s="791">
        <v>190.31100000000001</v>
      </c>
      <c r="G388" s="802"/>
      <c r="H388" s="802"/>
      <c r="I388" s="802"/>
      <c r="J388" s="802"/>
      <c r="K388" s="802"/>
      <c r="L388" s="802"/>
      <c r="M388" s="802"/>
      <c r="N388" s="802">
        <v>4161.3280000000004</v>
      </c>
      <c r="O388" s="579">
        <v>135.1909999999998</v>
      </c>
      <c r="P388" s="805"/>
      <c r="Q388" s="805">
        <v>135.191</v>
      </c>
    </row>
    <row r="389" spans="1:17">
      <c r="A389" s="771"/>
      <c r="B389" s="756" t="s">
        <v>1593</v>
      </c>
      <c r="C389" s="579"/>
      <c r="D389" s="791">
        <v>962</v>
      </c>
      <c r="E389" s="791">
        <v>962</v>
      </c>
      <c r="F389" s="791"/>
      <c r="G389" s="802"/>
      <c r="H389" s="802"/>
      <c r="I389" s="802"/>
      <c r="J389" s="802"/>
      <c r="K389" s="802"/>
      <c r="L389" s="802"/>
      <c r="M389" s="802"/>
      <c r="N389" s="802">
        <v>962</v>
      </c>
      <c r="O389" s="579">
        <v>0</v>
      </c>
      <c r="P389" s="805"/>
      <c r="Q389" s="805"/>
    </row>
    <row r="390" spans="1:17">
      <c r="A390" s="771"/>
      <c r="B390" s="756" t="s">
        <v>1595</v>
      </c>
      <c r="C390" s="579"/>
      <c r="D390" s="791">
        <v>11246.057999999999</v>
      </c>
      <c r="E390" s="791">
        <v>10674.703</v>
      </c>
      <c r="F390" s="791">
        <v>529.45500000000004</v>
      </c>
      <c r="G390" s="802">
        <v>41.9</v>
      </c>
      <c r="H390" s="802"/>
      <c r="I390" s="802"/>
      <c r="J390" s="802"/>
      <c r="K390" s="802"/>
      <c r="L390" s="802"/>
      <c r="M390" s="802"/>
      <c r="N390" s="802">
        <v>11152.199264999999</v>
      </c>
      <c r="O390" s="579">
        <v>93.858734999999797</v>
      </c>
      <c r="P390" s="805"/>
      <c r="Q390" s="802">
        <v>93.858734999999996</v>
      </c>
    </row>
    <row r="391" spans="1:17" s="529" customFormat="1">
      <c r="A391" s="771"/>
      <c r="B391" s="772" t="s">
        <v>1612</v>
      </c>
      <c r="C391" s="579"/>
      <c r="D391" s="791">
        <v>456</v>
      </c>
      <c r="E391" s="791">
        <v>445</v>
      </c>
      <c r="F391" s="791">
        <v>11</v>
      </c>
      <c r="G391" s="802"/>
      <c r="H391" s="802"/>
      <c r="I391" s="802"/>
      <c r="J391" s="802"/>
      <c r="K391" s="802"/>
      <c r="L391" s="802"/>
      <c r="M391" s="802"/>
      <c r="N391" s="802">
        <v>456</v>
      </c>
      <c r="O391" s="579">
        <v>0</v>
      </c>
      <c r="P391" s="802"/>
      <c r="Q391" s="802"/>
    </row>
    <row r="392" spans="1:17">
      <c r="A392" s="769">
        <v>2</v>
      </c>
      <c r="B392" s="770" t="s">
        <v>1599</v>
      </c>
      <c r="C392" s="807">
        <v>0</v>
      </c>
      <c r="D392" s="807">
        <v>2457.7000000000003</v>
      </c>
      <c r="E392" s="807">
        <v>2457.7000000000003</v>
      </c>
      <c r="F392" s="807">
        <v>0</v>
      </c>
      <c r="G392" s="807">
        <v>0</v>
      </c>
      <c r="H392" s="807">
        <v>0</v>
      </c>
      <c r="I392" s="807">
        <v>0</v>
      </c>
      <c r="J392" s="807">
        <v>0</v>
      </c>
      <c r="K392" s="807">
        <v>0</v>
      </c>
      <c r="L392" s="807">
        <v>0</v>
      </c>
      <c r="M392" s="807"/>
      <c r="N392" s="807">
        <v>2457.7000000000003</v>
      </c>
      <c r="O392" s="807">
        <v>0</v>
      </c>
      <c r="P392" s="807">
        <v>0</v>
      </c>
      <c r="Q392" s="807">
        <v>0</v>
      </c>
    </row>
    <row r="393" spans="1:17">
      <c r="A393" s="771"/>
      <c r="B393" s="778" t="s">
        <v>1600</v>
      </c>
      <c r="C393" s="802"/>
      <c r="D393" s="808">
        <v>275</v>
      </c>
      <c r="E393" s="802">
        <v>275</v>
      </c>
      <c r="F393" s="802"/>
      <c r="G393" s="802"/>
      <c r="H393" s="802"/>
      <c r="I393" s="802"/>
      <c r="J393" s="802"/>
      <c r="K393" s="802"/>
      <c r="L393" s="802"/>
      <c r="M393" s="802"/>
      <c r="N393" s="802">
        <v>275</v>
      </c>
      <c r="O393" s="807">
        <v>0</v>
      </c>
      <c r="P393" s="805"/>
      <c r="Q393" s="805"/>
    </row>
    <row r="394" spans="1:17">
      <c r="A394" s="771"/>
      <c r="B394" s="778" t="s">
        <v>1601</v>
      </c>
      <c r="C394" s="802"/>
      <c r="D394" s="808">
        <v>0</v>
      </c>
      <c r="E394" s="802"/>
      <c r="F394" s="802"/>
      <c r="G394" s="802"/>
      <c r="H394" s="802"/>
      <c r="I394" s="802"/>
      <c r="J394" s="802"/>
      <c r="K394" s="802"/>
      <c r="L394" s="802"/>
      <c r="M394" s="802"/>
      <c r="N394" s="802"/>
      <c r="O394" s="807">
        <v>0</v>
      </c>
      <c r="P394" s="805"/>
      <c r="Q394" s="805"/>
    </row>
    <row r="395" spans="1:17">
      <c r="A395" s="771"/>
      <c r="B395" s="778" t="s">
        <v>1602</v>
      </c>
      <c r="C395" s="802"/>
      <c r="D395" s="808">
        <v>725.7</v>
      </c>
      <c r="E395" s="802">
        <v>725.7</v>
      </c>
      <c r="F395" s="802"/>
      <c r="G395" s="802"/>
      <c r="H395" s="802"/>
      <c r="I395" s="802"/>
      <c r="J395" s="802"/>
      <c r="K395" s="802"/>
      <c r="L395" s="802"/>
      <c r="M395" s="802"/>
      <c r="N395" s="802">
        <v>725.7</v>
      </c>
      <c r="O395" s="807">
        <v>0</v>
      </c>
      <c r="P395" s="805"/>
      <c r="Q395" s="805"/>
    </row>
    <row r="396" spans="1:17">
      <c r="A396" s="771"/>
      <c r="B396" s="778" t="s">
        <v>1603</v>
      </c>
      <c r="C396" s="802"/>
      <c r="D396" s="808">
        <v>543.79999999999995</v>
      </c>
      <c r="E396" s="802">
        <v>543.79999999999995</v>
      </c>
      <c r="F396" s="802"/>
      <c r="G396" s="802"/>
      <c r="H396" s="802"/>
      <c r="I396" s="802"/>
      <c r="J396" s="802"/>
      <c r="K396" s="802"/>
      <c r="L396" s="802"/>
      <c r="M396" s="802"/>
      <c r="N396" s="802">
        <v>543.79999999999995</v>
      </c>
      <c r="O396" s="807">
        <v>0</v>
      </c>
      <c r="P396" s="805"/>
      <c r="Q396" s="805"/>
    </row>
    <row r="397" spans="1:17">
      <c r="A397" s="771"/>
      <c r="B397" s="778" t="s">
        <v>1604</v>
      </c>
      <c r="C397" s="802"/>
      <c r="D397" s="808">
        <v>420.9</v>
      </c>
      <c r="E397" s="802">
        <v>420.9</v>
      </c>
      <c r="F397" s="802"/>
      <c r="G397" s="802"/>
      <c r="H397" s="802"/>
      <c r="I397" s="802"/>
      <c r="J397" s="802"/>
      <c r="K397" s="802"/>
      <c r="L397" s="802"/>
      <c r="M397" s="802"/>
      <c r="N397" s="802">
        <v>420.9</v>
      </c>
      <c r="O397" s="807">
        <v>0</v>
      </c>
      <c r="P397" s="805"/>
      <c r="Q397" s="805"/>
    </row>
    <row r="398" spans="1:17">
      <c r="A398" s="771"/>
      <c r="B398" s="778" t="s">
        <v>1605</v>
      </c>
      <c r="C398" s="802"/>
      <c r="D398" s="808">
        <v>199.9</v>
      </c>
      <c r="E398" s="802">
        <v>199.9</v>
      </c>
      <c r="F398" s="802"/>
      <c r="G398" s="802"/>
      <c r="H398" s="802"/>
      <c r="I398" s="802"/>
      <c r="J398" s="802"/>
      <c r="K398" s="802"/>
      <c r="L398" s="802"/>
      <c r="M398" s="802"/>
      <c r="N398" s="802">
        <v>199.9</v>
      </c>
      <c r="O398" s="807">
        <v>0</v>
      </c>
      <c r="P398" s="805"/>
      <c r="Q398" s="805"/>
    </row>
    <row r="399" spans="1:17">
      <c r="A399" s="771"/>
      <c r="B399" s="778" t="s">
        <v>1607</v>
      </c>
      <c r="C399" s="802"/>
      <c r="D399" s="808">
        <v>170.10000000000002</v>
      </c>
      <c r="E399" s="802">
        <v>170.10000000000002</v>
      </c>
      <c r="F399" s="802"/>
      <c r="G399" s="802"/>
      <c r="H399" s="802"/>
      <c r="I399" s="802"/>
      <c r="J399" s="802"/>
      <c r="K399" s="802"/>
      <c r="L399" s="802"/>
      <c r="M399" s="802"/>
      <c r="N399" s="802">
        <v>170.1</v>
      </c>
      <c r="O399" s="807">
        <v>0</v>
      </c>
      <c r="P399" s="805"/>
      <c r="Q399" s="805"/>
    </row>
    <row r="400" spans="1:17">
      <c r="A400" s="771"/>
      <c r="B400" s="778" t="s">
        <v>1608</v>
      </c>
      <c r="C400" s="802"/>
      <c r="D400" s="808">
        <v>122.3</v>
      </c>
      <c r="E400" s="802">
        <v>122.3</v>
      </c>
      <c r="F400" s="802"/>
      <c r="G400" s="802"/>
      <c r="H400" s="802"/>
      <c r="I400" s="802"/>
      <c r="J400" s="802"/>
      <c r="K400" s="802"/>
      <c r="L400" s="802"/>
      <c r="M400" s="802"/>
      <c r="N400" s="802">
        <v>122.3</v>
      </c>
      <c r="O400" s="807">
        <v>0</v>
      </c>
      <c r="P400" s="805"/>
      <c r="Q400" s="802"/>
    </row>
    <row r="401" spans="1:17">
      <c r="A401" s="769">
        <v>3</v>
      </c>
      <c r="B401" s="770" t="s">
        <v>1674</v>
      </c>
      <c r="C401" s="807">
        <v>0</v>
      </c>
      <c r="D401" s="807">
        <v>989.90000000000009</v>
      </c>
      <c r="E401" s="807">
        <v>1238.9000000000001</v>
      </c>
      <c r="F401" s="807">
        <v>0</v>
      </c>
      <c r="G401" s="807">
        <v>0</v>
      </c>
      <c r="H401" s="807">
        <v>0</v>
      </c>
      <c r="I401" s="807">
        <v>0</v>
      </c>
      <c r="J401" s="807">
        <v>0</v>
      </c>
      <c r="K401" s="807">
        <v>249</v>
      </c>
      <c r="L401" s="807">
        <v>0</v>
      </c>
      <c r="M401" s="807"/>
      <c r="N401" s="807">
        <v>959.2</v>
      </c>
      <c r="O401" s="807">
        <v>30.700000000000045</v>
      </c>
      <c r="P401" s="807">
        <v>0</v>
      </c>
      <c r="Q401" s="807">
        <v>30.7</v>
      </c>
    </row>
    <row r="402" spans="1:17" s="529" customFormat="1">
      <c r="A402" s="771"/>
      <c r="B402" s="778" t="s">
        <v>1596</v>
      </c>
      <c r="C402" s="802"/>
      <c r="D402" s="811">
        <v>989.90000000000009</v>
      </c>
      <c r="E402" s="811">
        <v>1238.9000000000001</v>
      </c>
      <c r="F402" s="811"/>
      <c r="G402" s="802"/>
      <c r="H402" s="802"/>
      <c r="I402" s="802"/>
      <c r="J402" s="802"/>
      <c r="K402" s="802">
        <v>249</v>
      </c>
      <c r="L402" s="802"/>
      <c r="M402" s="802"/>
      <c r="N402" s="802">
        <v>959.2</v>
      </c>
      <c r="O402" s="579">
        <v>30.700000000000045</v>
      </c>
      <c r="P402" s="802"/>
      <c r="Q402" s="802">
        <v>30.7</v>
      </c>
    </row>
    <row r="403" spans="1:17">
      <c r="A403" s="769">
        <v>4</v>
      </c>
      <c r="B403" s="770" t="s">
        <v>1610</v>
      </c>
      <c r="C403" s="807">
        <v>0</v>
      </c>
      <c r="D403" s="807">
        <v>712</v>
      </c>
      <c r="E403" s="807">
        <v>712</v>
      </c>
      <c r="F403" s="807">
        <v>0</v>
      </c>
      <c r="G403" s="807">
        <v>0</v>
      </c>
      <c r="H403" s="807">
        <v>0</v>
      </c>
      <c r="I403" s="807">
        <v>0</v>
      </c>
      <c r="J403" s="807">
        <v>0</v>
      </c>
      <c r="K403" s="807">
        <v>0</v>
      </c>
      <c r="L403" s="807">
        <v>0</v>
      </c>
      <c r="M403" s="807"/>
      <c r="N403" s="807">
        <v>698.23900000000003</v>
      </c>
      <c r="O403" s="807">
        <v>13.760999999999967</v>
      </c>
      <c r="P403" s="807">
        <v>0</v>
      </c>
      <c r="Q403" s="807">
        <v>13.760999999999999</v>
      </c>
    </row>
    <row r="404" spans="1:17">
      <c r="A404" s="771"/>
      <c r="B404" s="778" t="s">
        <v>1596</v>
      </c>
      <c r="C404" s="802"/>
      <c r="D404" s="808">
        <v>712</v>
      </c>
      <c r="E404" s="802">
        <v>712</v>
      </c>
      <c r="F404" s="802"/>
      <c r="G404" s="802"/>
      <c r="H404" s="802"/>
      <c r="I404" s="802"/>
      <c r="J404" s="802"/>
      <c r="K404" s="802"/>
      <c r="L404" s="802"/>
      <c r="M404" s="802"/>
      <c r="N404" s="802">
        <v>698.23900000000003</v>
      </c>
      <c r="O404" s="579">
        <v>13.760999999999967</v>
      </c>
      <c r="P404" s="805"/>
      <c r="Q404" s="802">
        <v>13.760999999999999</v>
      </c>
    </row>
    <row r="405" spans="1:17">
      <c r="A405" s="769">
        <v>5</v>
      </c>
      <c r="B405" s="202" t="s">
        <v>1675</v>
      </c>
      <c r="C405" s="807">
        <v>0</v>
      </c>
      <c r="D405" s="807">
        <v>2285.64</v>
      </c>
      <c r="E405" s="807">
        <v>2285.64</v>
      </c>
      <c r="F405" s="807">
        <v>0</v>
      </c>
      <c r="G405" s="807">
        <v>0</v>
      </c>
      <c r="H405" s="807">
        <v>0</v>
      </c>
      <c r="I405" s="807">
        <v>0</v>
      </c>
      <c r="J405" s="807">
        <v>0</v>
      </c>
      <c r="K405" s="807">
        <v>0</v>
      </c>
      <c r="L405" s="807">
        <v>0</v>
      </c>
      <c r="M405" s="807"/>
      <c r="N405" s="807">
        <v>1828.1869999999999</v>
      </c>
      <c r="O405" s="807">
        <v>457.45299999999997</v>
      </c>
      <c r="P405" s="807">
        <v>0</v>
      </c>
      <c r="Q405" s="807">
        <v>457.45299999999997</v>
      </c>
    </row>
    <row r="406" spans="1:17">
      <c r="A406" s="771"/>
      <c r="B406" s="778" t="s">
        <v>1596</v>
      </c>
      <c r="C406" s="802"/>
      <c r="D406" s="808">
        <v>2285.64</v>
      </c>
      <c r="E406" s="802">
        <v>2285.64</v>
      </c>
      <c r="F406" s="802"/>
      <c r="G406" s="802"/>
      <c r="H406" s="802"/>
      <c r="I406" s="802"/>
      <c r="J406" s="802"/>
      <c r="K406" s="802"/>
      <c r="L406" s="802"/>
      <c r="M406" s="802"/>
      <c r="N406" s="802">
        <v>1828.1869999999999</v>
      </c>
      <c r="O406" s="579">
        <v>457.45299999999997</v>
      </c>
      <c r="P406" s="805"/>
      <c r="Q406" s="802">
        <v>457.45299999999997</v>
      </c>
    </row>
    <row r="407" spans="1:17">
      <c r="A407" s="771"/>
      <c r="B407" s="778" t="s">
        <v>1737</v>
      </c>
      <c r="C407" s="802"/>
      <c r="D407" s="808">
        <v>0</v>
      </c>
      <c r="E407" s="802"/>
      <c r="F407" s="802"/>
      <c r="G407" s="802"/>
      <c r="H407" s="802"/>
      <c r="I407" s="802"/>
      <c r="J407" s="802"/>
      <c r="K407" s="802"/>
      <c r="L407" s="802"/>
      <c r="M407" s="802"/>
      <c r="N407" s="802"/>
      <c r="O407" s="579">
        <v>0</v>
      </c>
      <c r="P407" s="805"/>
      <c r="Q407" s="802"/>
    </row>
    <row r="408" spans="1:17">
      <c r="A408" s="769">
        <v>6</v>
      </c>
      <c r="B408" s="770" t="s">
        <v>1612</v>
      </c>
      <c r="C408" s="576"/>
      <c r="D408" s="807">
        <v>0</v>
      </c>
      <c r="E408" s="791"/>
      <c r="F408" s="791"/>
      <c r="G408" s="802"/>
      <c r="H408" s="802"/>
      <c r="I408" s="802"/>
      <c r="J408" s="802"/>
      <c r="K408" s="802"/>
      <c r="L408" s="802"/>
      <c r="M408" s="802"/>
      <c r="N408" s="802"/>
      <c r="O408" s="579">
        <v>0</v>
      </c>
      <c r="P408" s="802"/>
      <c r="Q408" s="802"/>
    </row>
    <row r="409" spans="1:17">
      <c r="A409" s="186" t="s">
        <v>1507</v>
      </c>
      <c r="B409" s="776" t="s">
        <v>1347</v>
      </c>
      <c r="C409" s="578">
        <v>3434.0486119999996</v>
      </c>
      <c r="D409" s="578">
        <v>276413.99110400013</v>
      </c>
      <c r="E409" s="578">
        <v>133943.01999999999</v>
      </c>
      <c r="F409" s="578">
        <v>132499.93118800008</v>
      </c>
      <c r="G409" s="578">
        <v>12897.161000000002</v>
      </c>
      <c r="H409" s="578">
        <v>1359.77</v>
      </c>
      <c r="I409" s="578">
        <v>0</v>
      </c>
      <c r="J409" s="578">
        <v>3564</v>
      </c>
      <c r="K409" s="578">
        <v>7055.445084</v>
      </c>
      <c r="L409" s="578">
        <v>547.38</v>
      </c>
      <c r="M409" s="578">
        <v>0</v>
      </c>
      <c r="N409" s="578">
        <v>271888.84377800004</v>
      </c>
      <c r="O409" s="578">
        <v>7959.1959379999789</v>
      </c>
      <c r="P409" s="578">
        <v>4262.9145599999993</v>
      </c>
      <c r="Q409" s="578">
        <v>3695.5413779999994</v>
      </c>
    </row>
    <row r="410" spans="1:17" ht="31.5">
      <c r="A410" s="186" t="s">
        <v>1738</v>
      </c>
      <c r="B410" s="535" t="s">
        <v>1739</v>
      </c>
      <c r="C410" s="578">
        <v>281.91067199999998</v>
      </c>
      <c r="D410" s="578">
        <v>64137.603916</v>
      </c>
      <c r="E410" s="578">
        <v>49541</v>
      </c>
      <c r="F410" s="578">
        <v>6122.5429999999997</v>
      </c>
      <c r="G410" s="578">
        <v>10508.486000000001</v>
      </c>
      <c r="H410" s="578">
        <v>0</v>
      </c>
      <c r="I410" s="578">
        <v>0</v>
      </c>
      <c r="J410" s="578">
        <v>38</v>
      </c>
      <c r="K410" s="578">
        <v>1525.0450840000001</v>
      </c>
      <c r="L410" s="578">
        <v>547.38</v>
      </c>
      <c r="M410" s="578">
        <v>0</v>
      </c>
      <c r="N410" s="578">
        <v>61642.954270000017</v>
      </c>
      <c r="O410" s="578">
        <v>2776.5603180000007</v>
      </c>
      <c r="P410" s="578">
        <v>1660.47756</v>
      </c>
      <c r="Q410" s="578">
        <v>1116.0827580000005</v>
      </c>
    </row>
    <row r="411" spans="1:17" ht="47.25">
      <c r="A411" s="197">
        <v>1</v>
      </c>
      <c r="B411" s="202" t="s">
        <v>2426</v>
      </c>
      <c r="C411" s="805">
        <v>0</v>
      </c>
      <c r="D411" s="805">
        <v>2072.12</v>
      </c>
      <c r="E411" s="805">
        <v>0</v>
      </c>
      <c r="F411" s="805">
        <v>2581.5</v>
      </c>
      <c r="G411" s="805">
        <v>0</v>
      </c>
      <c r="H411" s="805">
        <v>0</v>
      </c>
      <c r="I411" s="805">
        <v>0</v>
      </c>
      <c r="J411" s="805">
        <v>0</v>
      </c>
      <c r="K411" s="805">
        <v>0</v>
      </c>
      <c r="L411" s="805">
        <v>509.38</v>
      </c>
      <c r="M411" s="805">
        <v>0</v>
      </c>
      <c r="N411" s="805">
        <v>1962.5161199999998</v>
      </c>
      <c r="O411" s="805">
        <v>109.60388000000005</v>
      </c>
      <c r="P411" s="805">
        <v>0</v>
      </c>
      <c r="Q411" s="805">
        <v>109.60388</v>
      </c>
    </row>
    <row r="412" spans="1:17" s="529" customFormat="1">
      <c r="A412" s="794"/>
      <c r="B412" s="779" t="s">
        <v>2427</v>
      </c>
      <c r="C412" s="579"/>
      <c r="D412" s="808">
        <v>71.5</v>
      </c>
      <c r="E412" s="802"/>
      <c r="F412" s="802">
        <v>71.5</v>
      </c>
      <c r="G412" s="802"/>
      <c r="H412" s="802"/>
      <c r="I412" s="802"/>
      <c r="J412" s="802"/>
      <c r="K412" s="802"/>
      <c r="L412" s="802"/>
      <c r="M412" s="802"/>
      <c r="N412" s="802">
        <v>71.480800000000002</v>
      </c>
      <c r="O412" s="579">
        <v>1.9199999999997885E-2</v>
      </c>
      <c r="P412" s="802"/>
      <c r="Q412" s="802">
        <v>1.9199999999997885E-2</v>
      </c>
    </row>
    <row r="413" spans="1:17" s="529" customFormat="1">
      <c r="A413" s="794"/>
      <c r="B413" s="779" t="s">
        <v>343</v>
      </c>
      <c r="C413" s="579"/>
      <c r="D413" s="808">
        <v>500</v>
      </c>
      <c r="E413" s="802"/>
      <c r="F413" s="802">
        <v>500</v>
      </c>
      <c r="G413" s="802"/>
      <c r="H413" s="802"/>
      <c r="I413" s="802"/>
      <c r="J413" s="802"/>
      <c r="K413" s="802"/>
      <c r="L413" s="802"/>
      <c r="M413" s="802"/>
      <c r="N413" s="802">
        <v>500</v>
      </c>
      <c r="O413" s="579">
        <v>0</v>
      </c>
      <c r="P413" s="802"/>
      <c r="Q413" s="802"/>
    </row>
    <row r="414" spans="1:17" s="529" customFormat="1">
      <c r="A414" s="794"/>
      <c r="B414" s="779" t="s">
        <v>1242</v>
      </c>
      <c r="C414" s="579"/>
      <c r="D414" s="808">
        <v>1040</v>
      </c>
      <c r="E414" s="802"/>
      <c r="F414" s="802">
        <v>1040</v>
      </c>
      <c r="G414" s="802"/>
      <c r="H414" s="802"/>
      <c r="I414" s="802"/>
      <c r="J414" s="802"/>
      <c r="K414" s="802"/>
      <c r="L414" s="802"/>
      <c r="M414" s="802"/>
      <c r="N414" s="802">
        <v>933.91531999999995</v>
      </c>
      <c r="O414" s="579">
        <v>106.08468000000005</v>
      </c>
      <c r="P414" s="802"/>
      <c r="Q414" s="802">
        <v>106.08468000000001</v>
      </c>
    </row>
    <row r="415" spans="1:17" s="529" customFormat="1" ht="15.75" customHeight="1">
      <c r="A415" s="794"/>
      <c r="B415" s="779" t="s">
        <v>1829</v>
      </c>
      <c r="C415" s="579"/>
      <c r="D415" s="808">
        <v>350</v>
      </c>
      <c r="E415" s="802"/>
      <c r="F415" s="802">
        <v>350</v>
      </c>
      <c r="G415" s="802"/>
      <c r="H415" s="802"/>
      <c r="I415" s="802"/>
      <c r="J415" s="802"/>
      <c r="K415" s="802"/>
      <c r="L415" s="802"/>
      <c r="M415" s="802"/>
      <c r="N415" s="802">
        <v>350</v>
      </c>
      <c r="O415" s="579">
        <v>0</v>
      </c>
      <c r="P415" s="802"/>
      <c r="Q415" s="802"/>
    </row>
    <row r="416" spans="1:17" s="529" customFormat="1" ht="15.75" customHeight="1">
      <c r="A416" s="794"/>
      <c r="B416" s="778" t="s">
        <v>1716</v>
      </c>
      <c r="C416" s="579"/>
      <c r="D416" s="808">
        <v>90</v>
      </c>
      <c r="E416" s="802"/>
      <c r="F416" s="802">
        <v>90</v>
      </c>
      <c r="G416" s="802"/>
      <c r="H416" s="802"/>
      <c r="I416" s="802"/>
      <c r="J416" s="802"/>
      <c r="K416" s="802"/>
      <c r="L416" s="802"/>
      <c r="M416" s="802"/>
      <c r="N416" s="802">
        <v>86.5</v>
      </c>
      <c r="O416" s="579">
        <v>3.5</v>
      </c>
      <c r="P416" s="802"/>
      <c r="Q416" s="802">
        <v>3.5</v>
      </c>
    </row>
    <row r="417" spans="1:17" s="529" customFormat="1" ht="15.75" customHeight="1">
      <c r="A417" s="794"/>
      <c r="B417" s="779" t="s">
        <v>1920</v>
      </c>
      <c r="C417" s="579"/>
      <c r="D417" s="808">
        <v>20.620000000000005</v>
      </c>
      <c r="E417" s="802"/>
      <c r="F417" s="802">
        <v>530</v>
      </c>
      <c r="G417" s="802"/>
      <c r="H417" s="802"/>
      <c r="I417" s="802"/>
      <c r="J417" s="802"/>
      <c r="K417" s="802"/>
      <c r="L417" s="802">
        <v>509.38</v>
      </c>
      <c r="M417" s="802"/>
      <c r="N417" s="802">
        <v>20.620000000000005</v>
      </c>
      <c r="O417" s="579">
        <v>0</v>
      </c>
      <c r="P417" s="802"/>
      <c r="Q417" s="802">
        <v>0</v>
      </c>
    </row>
    <row r="418" spans="1:17">
      <c r="A418" s="197">
        <v>2</v>
      </c>
      <c r="B418" s="785" t="s">
        <v>394</v>
      </c>
      <c r="C418" s="805">
        <v>281.91067199999998</v>
      </c>
      <c r="D418" s="805">
        <v>62065.483915999997</v>
      </c>
      <c r="E418" s="805">
        <v>49541</v>
      </c>
      <c r="F418" s="805">
        <v>3541.0430000000001</v>
      </c>
      <c r="G418" s="805">
        <v>10508.486000000001</v>
      </c>
      <c r="H418" s="805">
        <v>0</v>
      </c>
      <c r="I418" s="805">
        <v>0</v>
      </c>
      <c r="J418" s="805">
        <v>38</v>
      </c>
      <c r="K418" s="805">
        <v>1525.0450840000001</v>
      </c>
      <c r="L418" s="805">
        <v>38</v>
      </c>
      <c r="M418" s="805">
        <v>0</v>
      </c>
      <c r="N418" s="805">
        <v>59680.438150000016</v>
      </c>
      <c r="O418" s="805">
        <v>2666.9564380000006</v>
      </c>
      <c r="P418" s="805">
        <v>1660.47756</v>
      </c>
      <c r="Q418" s="805">
        <v>1006.4788780000003</v>
      </c>
    </row>
    <row r="419" spans="1:17">
      <c r="A419" s="197" t="s">
        <v>106</v>
      </c>
      <c r="B419" s="785" t="s">
        <v>1676</v>
      </c>
      <c r="C419" s="576">
        <v>68.833999999999989</v>
      </c>
      <c r="D419" s="576">
        <v>6888.1929999999984</v>
      </c>
      <c r="E419" s="576">
        <v>4186</v>
      </c>
      <c r="F419" s="576">
        <v>0</v>
      </c>
      <c r="G419" s="576">
        <v>3180</v>
      </c>
      <c r="H419" s="576">
        <v>0</v>
      </c>
      <c r="I419" s="576">
        <v>0</v>
      </c>
      <c r="J419" s="576">
        <v>38</v>
      </c>
      <c r="K419" s="576">
        <v>477.80700000000002</v>
      </c>
      <c r="L419" s="576">
        <v>38</v>
      </c>
      <c r="M419" s="576">
        <v>0</v>
      </c>
      <c r="N419" s="576">
        <v>6422.4142489999986</v>
      </c>
      <c r="O419" s="576">
        <v>534.612751</v>
      </c>
      <c r="P419" s="576">
        <v>260</v>
      </c>
      <c r="Q419" s="576">
        <v>274.61275099999995</v>
      </c>
    </row>
    <row r="420" spans="1:17" s="529" customFormat="1">
      <c r="A420" s="794"/>
      <c r="B420" s="756" t="s">
        <v>1537</v>
      </c>
      <c r="C420" s="579"/>
      <c r="D420" s="808">
        <v>5399.7719999999999</v>
      </c>
      <c r="E420" s="802">
        <v>2955.5790000000002</v>
      </c>
      <c r="F420" s="802"/>
      <c r="G420" s="802">
        <v>2960</v>
      </c>
      <c r="H420" s="802"/>
      <c r="I420" s="802"/>
      <c r="J420" s="802"/>
      <c r="K420" s="802">
        <v>477.80700000000002</v>
      </c>
      <c r="L420" s="802">
        <v>38</v>
      </c>
      <c r="M420" s="802"/>
      <c r="N420" s="802">
        <v>4947.6705609999999</v>
      </c>
      <c r="O420" s="579">
        <v>452.10143900000003</v>
      </c>
      <c r="P420" s="802">
        <v>260</v>
      </c>
      <c r="Q420" s="802">
        <v>192.101439</v>
      </c>
    </row>
    <row r="421" spans="1:17" s="529" customFormat="1">
      <c r="A421" s="794"/>
      <c r="B421" s="756" t="s">
        <v>1538</v>
      </c>
      <c r="C421" s="579"/>
      <c r="D421" s="808">
        <v>167.61</v>
      </c>
      <c r="E421" s="802">
        <v>136.61000000000001</v>
      </c>
      <c r="F421" s="802"/>
      <c r="G421" s="802">
        <v>25</v>
      </c>
      <c r="H421" s="802"/>
      <c r="I421" s="802"/>
      <c r="J421" s="802">
        <v>6</v>
      </c>
      <c r="K421" s="802"/>
      <c r="L421" s="802"/>
      <c r="M421" s="802"/>
      <c r="N421" s="802">
        <v>166.204027</v>
      </c>
      <c r="O421" s="579">
        <v>1.4059730000000172</v>
      </c>
      <c r="P421" s="802"/>
      <c r="Q421" s="802">
        <v>1.4059729999999999</v>
      </c>
    </row>
    <row r="422" spans="1:17" s="529" customFormat="1">
      <c r="A422" s="794"/>
      <c r="B422" s="756" t="s">
        <v>1539</v>
      </c>
      <c r="C422" s="579"/>
      <c r="D422" s="808">
        <v>215.352</v>
      </c>
      <c r="E422" s="802">
        <v>175.352</v>
      </c>
      <c r="F422" s="816"/>
      <c r="G422" s="802">
        <v>40</v>
      </c>
      <c r="H422" s="802"/>
      <c r="I422" s="802"/>
      <c r="J422" s="802"/>
      <c r="K422" s="802"/>
      <c r="L422" s="802"/>
      <c r="M422" s="802"/>
      <c r="N422" s="802">
        <v>215.142627</v>
      </c>
      <c r="O422" s="579">
        <v>0.20937299999999937</v>
      </c>
      <c r="P422" s="802"/>
      <c r="Q422" s="802">
        <v>0.209373</v>
      </c>
    </row>
    <row r="423" spans="1:17" s="529" customFormat="1">
      <c r="A423" s="794"/>
      <c r="B423" s="756" t="s">
        <v>1540</v>
      </c>
      <c r="C423" s="579">
        <v>31.7</v>
      </c>
      <c r="D423" s="808">
        <v>163.298</v>
      </c>
      <c r="E423" s="802">
        <v>138.298</v>
      </c>
      <c r="F423" s="802"/>
      <c r="G423" s="802">
        <v>20</v>
      </c>
      <c r="H423" s="802"/>
      <c r="I423" s="802"/>
      <c r="J423" s="802">
        <v>5</v>
      </c>
      <c r="K423" s="802"/>
      <c r="L423" s="802"/>
      <c r="M423" s="802"/>
      <c r="N423" s="802">
        <v>162.803</v>
      </c>
      <c r="O423" s="579">
        <v>32.194999999999993</v>
      </c>
      <c r="P423" s="802"/>
      <c r="Q423" s="802">
        <v>32.195</v>
      </c>
    </row>
    <row r="424" spans="1:17" s="529" customFormat="1">
      <c r="A424" s="794"/>
      <c r="B424" s="756" t="s">
        <v>1541</v>
      </c>
      <c r="C424" s="579">
        <v>21.265999999999998</v>
      </c>
      <c r="D424" s="808">
        <v>229.482</v>
      </c>
      <c r="E424" s="802">
        <v>189.482</v>
      </c>
      <c r="F424" s="816"/>
      <c r="G424" s="802">
        <v>35</v>
      </c>
      <c r="H424" s="802"/>
      <c r="I424" s="802"/>
      <c r="J424" s="802">
        <v>5</v>
      </c>
      <c r="K424" s="802"/>
      <c r="L424" s="802"/>
      <c r="M424" s="802"/>
      <c r="N424" s="802">
        <v>229.482</v>
      </c>
      <c r="O424" s="579">
        <v>21.265999999999991</v>
      </c>
      <c r="P424" s="802"/>
      <c r="Q424" s="802">
        <v>21.265999999999998</v>
      </c>
    </row>
    <row r="425" spans="1:17" s="529" customFormat="1">
      <c r="A425" s="794"/>
      <c r="B425" s="756" t="s">
        <v>1542</v>
      </c>
      <c r="C425" s="579">
        <v>15.868</v>
      </c>
      <c r="D425" s="808">
        <v>179.75700000000001</v>
      </c>
      <c r="E425" s="802">
        <v>149.75700000000001</v>
      </c>
      <c r="F425" s="816"/>
      <c r="G425" s="802">
        <v>25</v>
      </c>
      <c r="H425" s="802"/>
      <c r="I425" s="802"/>
      <c r="J425" s="802">
        <v>5</v>
      </c>
      <c r="K425" s="802"/>
      <c r="L425" s="802"/>
      <c r="M425" s="802"/>
      <c r="N425" s="802">
        <v>179.75700000000001</v>
      </c>
      <c r="O425" s="579">
        <v>15.867999999999995</v>
      </c>
      <c r="P425" s="802"/>
      <c r="Q425" s="802">
        <v>15.868</v>
      </c>
    </row>
    <row r="426" spans="1:17" s="529" customFormat="1">
      <c r="A426" s="794"/>
      <c r="B426" s="756" t="s">
        <v>1543</v>
      </c>
      <c r="C426" s="579"/>
      <c r="D426" s="808">
        <v>174.494</v>
      </c>
      <c r="E426" s="802">
        <v>148.494</v>
      </c>
      <c r="F426" s="816"/>
      <c r="G426" s="802">
        <v>20</v>
      </c>
      <c r="H426" s="802"/>
      <c r="I426" s="802"/>
      <c r="J426" s="802">
        <v>6</v>
      </c>
      <c r="K426" s="802"/>
      <c r="L426" s="802"/>
      <c r="M426" s="802"/>
      <c r="N426" s="802">
        <v>174.32</v>
      </c>
      <c r="O426" s="579">
        <v>0.17400000000000659</v>
      </c>
      <c r="P426" s="802"/>
      <c r="Q426" s="802">
        <v>0.17399999999999999</v>
      </c>
    </row>
    <row r="427" spans="1:17" s="529" customFormat="1">
      <c r="A427" s="794"/>
      <c r="B427" s="756" t="s">
        <v>1544</v>
      </c>
      <c r="C427" s="579"/>
      <c r="D427" s="808">
        <v>234.05799999999999</v>
      </c>
      <c r="E427" s="802">
        <v>198.05799999999999</v>
      </c>
      <c r="F427" s="816"/>
      <c r="G427" s="802">
        <v>30</v>
      </c>
      <c r="H427" s="802"/>
      <c r="I427" s="802"/>
      <c r="J427" s="802">
        <v>6</v>
      </c>
      <c r="K427" s="802"/>
      <c r="L427" s="802"/>
      <c r="M427" s="802"/>
      <c r="N427" s="802">
        <v>232.78272699999999</v>
      </c>
      <c r="O427" s="579">
        <v>1.2752729999999985</v>
      </c>
      <c r="P427" s="802"/>
      <c r="Q427" s="802">
        <v>1.2752730000000001</v>
      </c>
    </row>
    <row r="428" spans="1:17" s="529" customFormat="1">
      <c r="A428" s="794"/>
      <c r="B428" s="756" t="s">
        <v>1830</v>
      </c>
      <c r="C428" s="579"/>
      <c r="D428" s="808">
        <v>124.37</v>
      </c>
      <c r="E428" s="802">
        <v>94.37</v>
      </c>
      <c r="F428" s="816"/>
      <c r="G428" s="802">
        <v>25</v>
      </c>
      <c r="H428" s="802"/>
      <c r="I428" s="802"/>
      <c r="J428" s="802">
        <v>5</v>
      </c>
      <c r="K428" s="802"/>
      <c r="L428" s="802"/>
      <c r="M428" s="802"/>
      <c r="N428" s="802">
        <v>114.252307</v>
      </c>
      <c r="O428" s="579">
        <v>10.117693000000003</v>
      </c>
      <c r="P428" s="802"/>
      <c r="Q428" s="802">
        <v>10.117692999999999</v>
      </c>
    </row>
    <row r="429" spans="1:17">
      <c r="A429" s="197" t="s">
        <v>107</v>
      </c>
      <c r="B429" s="785" t="s">
        <v>1706</v>
      </c>
      <c r="C429" s="805"/>
      <c r="D429" s="807">
        <v>9913.8829999999998</v>
      </c>
      <c r="E429" s="805">
        <v>9226</v>
      </c>
      <c r="F429" s="805">
        <v>642.88300000000004</v>
      </c>
      <c r="G429" s="805">
        <v>45</v>
      </c>
      <c r="H429" s="805"/>
      <c r="I429" s="805"/>
      <c r="J429" s="805"/>
      <c r="K429" s="805"/>
      <c r="L429" s="805"/>
      <c r="M429" s="805"/>
      <c r="N429" s="805">
        <v>9913.8828429999994</v>
      </c>
      <c r="O429" s="576">
        <v>1.5700000039942097E-4</v>
      </c>
      <c r="P429" s="805"/>
      <c r="Q429" s="805">
        <v>1.5700000039942097E-4</v>
      </c>
    </row>
    <row r="430" spans="1:17" ht="31.5">
      <c r="A430" s="197" t="s">
        <v>108</v>
      </c>
      <c r="B430" s="202" t="s">
        <v>1697</v>
      </c>
      <c r="C430" s="807"/>
      <c r="D430" s="805">
        <v>1948.9380000000001</v>
      </c>
      <c r="E430" s="805">
        <v>1875</v>
      </c>
      <c r="F430" s="805">
        <v>73.938000000000002</v>
      </c>
      <c r="G430" s="805"/>
      <c r="H430" s="805"/>
      <c r="I430" s="805"/>
      <c r="J430" s="805"/>
      <c r="K430" s="805"/>
      <c r="L430" s="805"/>
      <c r="M430" s="805"/>
      <c r="N430" s="576">
        <v>1922.657596</v>
      </c>
      <c r="O430" s="576">
        <v>26.28040400000009</v>
      </c>
      <c r="P430" s="805">
        <v>2.5292319999999999</v>
      </c>
      <c r="Q430" s="802">
        <v>23.751172</v>
      </c>
    </row>
    <row r="431" spans="1:17" ht="32.25" customHeight="1">
      <c r="A431" s="197" t="s">
        <v>109</v>
      </c>
      <c r="B431" s="202" t="s">
        <v>1239</v>
      </c>
      <c r="C431" s="576">
        <v>63.960625999999998</v>
      </c>
      <c r="D431" s="805">
        <v>5579.3040000000001</v>
      </c>
      <c r="E431" s="805">
        <v>5224</v>
      </c>
      <c r="F431" s="805">
        <v>161.142</v>
      </c>
      <c r="G431" s="805">
        <v>194.16200000000001</v>
      </c>
      <c r="H431" s="805"/>
      <c r="I431" s="805"/>
      <c r="J431" s="805"/>
      <c r="K431" s="805"/>
      <c r="L431" s="805"/>
      <c r="M431" s="805"/>
      <c r="N431" s="805">
        <v>5551.2357079999992</v>
      </c>
      <c r="O431" s="576">
        <v>92.028918000000886</v>
      </c>
      <c r="P431" s="805">
        <v>45.967198000000003</v>
      </c>
      <c r="Q431" s="805">
        <v>46.061720000000001</v>
      </c>
    </row>
    <row r="432" spans="1:17">
      <c r="A432" s="197" t="s">
        <v>110</v>
      </c>
      <c r="B432" s="785" t="s">
        <v>1677</v>
      </c>
      <c r="C432" s="576">
        <v>50.663026000000002</v>
      </c>
      <c r="D432" s="807">
        <v>8103.6720000000005</v>
      </c>
      <c r="E432" s="805">
        <v>8372</v>
      </c>
      <c r="F432" s="805">
        <v>51.671999999999997</v>
      </c>
      <c r="G432" s="805"/>
      <c r="H432" s="805"/>
      <c r="I432" s="805"/>
      <c r="J432" s="805"/>
      <c r="K432" s="805">
        <v>320</v>
      </c>
      <c r="L432" s="805"/>
      <c r="M432" s="805"/>
      <c r="N432" s="805">
        <v>8123.1494120000007</v>
      </c>
      <c r="O432" s="576">
        <v>31.185613999999987</v>
      </c>
      <c r="P432" s="805"/>
      <c r="Q432" s="805">
        <v>31.185614000000001</v>
      </c>
    </row>
    <row r="433" spans="1:17">
      <c r="A433" s="197" t="s">
        <v>211</v>
      </c>
      <c r="B433" s="785" t="s">
        <v>1707</v>
      </c>
      <c r="C433" s="805"/>
      <c r="D433" s="805">
        <v>6320.8670000000002</v>
      </c>
      <c r="E433" s="805">
        <v>3513</v>
      </c>
      <c r="F433" s="805"/>
      <c r="G433" s="805">
        <v>2807.8670000000002</v>
      </c>
      <c r="H433" s="805"/>
      <c r="I433" s="805"/>
      <c r="J433" s="805"/>
      <c r="K433" s="805"/>
      <c r="L433" s="805"/>
      <c r="M433" s="805"/>
      <c r="N433" s="805">
        <v>6117.1013560000001</v>
      </c>
      <c r="O433" s="576">
        <v>203.76564400000007</v>
      </c>
      <c r="P433" s="805"/>
      <c r="Q433" s="805">
        <v>203.76564400000001</v>
      </c>
    </row>
    <row r="434" spans="1:17" ht="30" customHeight="1">
      <c r="A434" s="197" t="s">
        <v>216</v>
      </c>
      <c r="B434" s="202" t="s">
        <v>1708</v>
      </c>
      <c r="C434" s="805"/>
      <c r="D434" s="805">
        <v>1626</v>
      </c>
      <c r="E434" s="805"/>
      <c r="F434" s="805">
        <v>1626</v>
      </c>
      <c r="G434" s="805"/>
      <c r="H434" s="805"/>
      <c r="I434" s="805"/>
      <c r="J434" s="805"/>
      <c r="K434" s="805"/>
      <c r="L434" s="805"/>
      <c r="M434" s="805"/>
      <c r="N434" s="805">
        <v>1625.8724010000001</v>
      </c>
      <c r="O434" s="576">
        <v>0.12759899999991831</v>
      </c>
      <c r="P434" s="805"/>
      <c r="Q434" s="802">
        <v>0.12759899999999999</v>
      </c>
    </row>
    <row r="435" spans="1:17" ht="30" customHeight="1">
      <c r="A435" s="197" t="s">
        <v>2428</v>
      </c>
      <c r="B435" s="202" t="s">
        <v>1711</v>
      </c>
      <c r="C435" s="576"/>
      <c r="D435" s="805">
        <v>3378.9899159999995</v>
      </c>
      <c r="E435" s="805">
        <v>3312</v>
      </c>
      <c r="F435" s="805">
        <v>16.294</v>
      </c>
      <c r="G435" s="575">
        <v>251.624</v>
      </c>
      <c r="H435" s="805"/>
      <c r="I435" s="805"/>
      <c r="J435" s="805"/>
      <c r="K435" s="805">
        <v>200.92808400000001</v>
      </c>
      <c r="L435" s="805"/>
      <c r="M435" s="805"/>
      <c r="N435" s="805">
        <v>3356.1044860000002</v>
      </c>
      <c r="O435" s="576">
        <v>22.88542999999936</v>
      </c>
      <c r="P435" s="805">
        <v>9.5473099999999995</v>
      </c>
      <c r="Q435" s="805">
        <v>13.33812</v>
      </c>
    </row>
    <row r="436" spans="1:17" ht="29.25" customHeight="1">
      <c r="A436" s="197" t="s">
        <v>2429</v>
      </c>
      <c r="B436" s="202" t="s">
        <v>1709</v>
      </c>
      <c r="C436" s="805"/>
      <c r="D436" s="805">
        <v>216</v>
      </c>
      <c r="E436" s="805"/>
      <c r="F436" s="805"/>
      <c r="G436" s="805">
        <v>216</v>
      </c>
      <c r="H436" s="805"/>
      <c r="I436" s="805"/>
      <c r="J436" s="805"/>
      <c r="K436" s="805"/>
      <c r="L436" s="805"/>
      <c r="M436" s="805"/>
      <c r="N436" s="805">
        <v>216</v>
      </c>
      <c r="O436" s="576">
        <v>0</v>
      </c>
      <c r="P436" s="805"/>
      <c r="Q436" s="802"/>
    </row>
    <row r="437" spans="1:17" ht="29.25" customHeight="1">
      <c r="A437" s="197" t="s">
        <v>2430</v>
      </c>
      <c r="B437" s="202" t="s">
        <v>1710</v>
      </c>
      <c r="C437" s="805"/>
      <c r="D437" s="805">
        <v>81</v>
      </c>
      <c r="E437" s="805"/>
      <c r="F437" s="805"/>
      <c r="G437" s="805">
        <v>81</v>
      </c>
      <c r="H437" s="805"/>
      <c r="I437" s="805"/>
      <c r="J437" s="805"/>
      <c r="K437" s="805"/>
      <c r="L437" s="805"/>
      <c r="M437" s="805"/>
      <c r="N437" s="805">
        <v>81</v>
      </c>
      <c r="O437" s="576">
        <v>0</v>
      </c>
      <c r="P437" s="805"/>
      <c r="Q437" s="802"/>
    </row>
    <row r="438" spans="1:17" ht="17.25" customHeight="1">
      <c r="A438" s="197" t="s">
        <v>2431</v>
      </c>
      <c r="B438" s="785" t="s">
        <v>1717</v>
      </c>
      <c r="C438" s="805"/>
      <c r="D438" s="805">
        <v>4865.7460000000001</v>
      </c>
      <c r="E438" s="805">
        <v>4798</v>
      </c>
      <c r="F438" s="805">
        <v>67.745999999999995</v>
      </c>
      <c r="G438" s="805"/>
      <c r="H438" s="805"/>
      <c r="I438" s="805"/>
      <c r="J438" s="805"/>
      <c r="K438" s="805"/>
      <c r="L438" s="805"/>
      <c r="M438" s="805"/>
      <c r="N438" s="805">
        <v>4761.4460790000003</v>
      </c>
      <c r="O438" s="576">
        <v>104.29992099999981</v>
      </c>
      <c r="P438" s="805"/>
      <c r="Q438" s="576">
        <v>104.299921</v>
      </c>
    </row>
    <row r="439" spans="1:17" ht="29.25" customHeight="1">
      <c r="A439" s="197" t="s">
        <v>2432</v>
      </c>
      <c r="B439" s="202" t="s">
        <v>1718</v>
      </c>
      <c r="C439" s="805"/>
      <c r="D439" s="805">
        <v>2022.5819999999999</v>
      </c>
      <c r="E439" s="805">
        <v>1703</v>
      </c>
      <c r="F439" s="805">
        <v>134.13999999999999</v>
      </c>
      <c r="G439" s="805">
        <v>185.44200000000001</v>
      </c>
      <c r="H439" s="805"/>
      <c r="I439" s="805"/>
      <c r="J439" s="805"/>
      <c r="K439" s="805"/>
      <c r="L439" s="805"/>
      <c r="M439" s="805"/>
      <c r="N439" s="805">
        <v>1972.7984240000001</v>
      </c>
      <c r="O439" s="576">
        <v>49.783575999999812</v>
      </c>
      <c r="P439" s="805"/>
      <c r="Q439" s="805">
        <v>49.783575999999996</v>
      </c>
    </row>
    <row r="440" spans="1:17" ht="29.25" customHeight="1">
      <c r="A440" s="197" t="s">
        <v>2433</v>
      </c>
      <c r="B440" s="202" t="s">
        <v>1713</v>
      </c>
      <c r="C440" s="805">
        <v>0.84860000000000002</v>
      </c>
      <c r="D440" s="805">
        <v>4605.58</v>
      </c>
      <c r="E440" s="805">
        <v>3417</v>
      </c>
      <c r="F440" s="805">
        <v>242.58</v>
      </c>
      <c r="G440" s="805">
        <v>1148</v>
      </c>
      <c r="H440" s="805"/>
      <c r="I440" s="805"/>
      <c r="J440" s="805"/>
      <c r="K440" s="805">
        <v>202</v>
      </c>
      <c r="L440" s="805"/>
      <c r="M440" s="805"/>
      <c r="N440" s="805">
        <v>3638.8397399999999</v>
      </c>
      <c r="O440" s="576">
        <v>967.5888600000003</v>
      </c>
      <c r="P440" s="805">
        <v>950.84860000000003</v>
      </c>
      <c r="Q440" s="805">
        <v>16.740259999999999</v>
      </c>
    </row>
    <row r="441" spans="1:17" ht="29.25" customHeight="1">
      <c r="A441" s="197" t="s">
        <v>2434</v>
      </c>
      <c r="B441" s="202" t="s">
        <v>1712</v>
      </c>
      <c r="C441" s="576">
        <v>97.604420000000005</v>
      </c>
      <c r="D441" s="805">
        <v>4083.0819999999999</v>
      </c>
      <c r="E441" s="805">
        <v>2446</v>
      </c>
      <c r="F441" s="805">
        <v>524.64800000000002</v>
      </c>
      <c r="G441" s="805">
        <v>1436.7440000000001</v>
      </c>
      <c r="H441" s="805"/>
      <c r="I441" s="805"/>
      <c r="J441" s="805"/>
      <c r="K441" s="805">
        <v>324.31</v>
      </c>
      <c r="L441" s="805"/>
      <c r="M441" s="805"/>
      <c r="N441" s="805">
        <v>3785.4</v>
      </c>
      <c r="O441" s="576">
        <v>395.28641999999991</v>
      </c>
      <c r="P441" s="805">
        <v>391.58521999999999</v>
      </c>
      <c r="Q441" s="805">
        <v>3.7012</v>
      </c>
    </row>
    <row r="442" spans="1:17" ht="20.25" customHeight="1">
      <c r="A442" s="197" t="s">
        <v>2435</v>
      </c>
      <c r="B442" s="785" t="s">
        <v>1715</v>
      </c>
      <c r="C442" s="805"/>
      <c r="D442" s="805">
        <v>0</v>
      </c>
      <c r="E442" s="805"/>
      <c r="F442" s="805"/>
      <c r="G442" s="805"/>
      <c r="H442" s="805"/>
      <c r="I442" s="805"/>
      <c r="J442" s="805"/>
      <c r="K442" s="805"/>
      <c r="L442" s="805"/>
      <c r="M442" s="805"/>
      <c r="N442" s="805"/>
      <c r="O442" s="576">
        <v>0</v>
      </c>
      <c r="P442" s="805"/>
      <c r="Q442" s="805"/>
    </row>
    <row r="443" spans="1:17" ht="21.75" customHeight="1">
      <c r="A443" s="197" t="s">
        <v>2436</v>
      </c>
      <c r="B443" s="785" t="s">
        <v>1714</v>
      </c>
      <c r="C443" s="805"/>
      <c r="D443" s="805">
        <v>1469</v>
      </c>
      <c r="E443" s="805">
        <v>1469</v>
      </c>
      <c r="F443" s="805"/>
      <c r="G443" s="805"/>
      <c r="H443" s="805"/>
      <c r="I443" s="805"/>
      <c r="J443" s="805"/>
      <c r="K443" s="805"/>
      <c r="L443" s="805"/>
      <c r="M443" s="805"/>
      <c r="N443" s="805">
        <v>1469</v>
      </c>
      <c r="O443" s="576">
        <v>0</v>
      </c>
      <c r="P443" s="805"/>
      <c r="Q443" s="805"/>
    </row>
    <row r="444" spans="1:17" ht="31.5">
      <c r="A444" s="197" t="s">
        <v>2437</v>
      </c>
      <c r="B444" s="202" t="s">
        <v>1716</v>
      </c>
      <c r="C444" s="576"/>
      <c r="D444" s="805">
        <v>0</v>
      </c>
      <c r="E444" s="805"/>
      <c r="F444" s="805"/>
      <c r="G444" s="805"/>
      <c r="H444" s="805"/>
      <c r="I444" s="805"/>
      <c r="J444" s="805"/>
      <c r="K444" s="805"/>
      <c r="L444" s="805"/>
      <c r="M444" s="805"/>
      <c r="N444" s="805"/>
      <c r="O444" s="576">
        <v>0</v>
      </c>
      <c r="P444" s="805"/>
      <c r="Q444" s="802"/>
    </row>
    <row r="445" spans="1:17">
      <c r="A445" s="197" t="s">
        <v>2438</v>
      </c>
      <c r="B445" s="202" t="s">
        <v>1242</v>
      </c>
      <c r="C445" s="576"/>
      <c r="D445" s="807">
        <v>0</v>
      </c>
      <c r="E445" s="805"/>
      <c r="F445" s="805"/>
      <c r="G445" s="805"/>
      <c r="H445" s="805"/>
      <c r="I445" s="805"/>
      <c r="J445" s="805"/>
      <c r="K445" s="805"/>
      <c r="L445" s="805"/>
      <c r="M445" s="805"/>
      <c r="N445" s="805"/>
      <c r="O445" s="576">
        <v>0</v>
      </c>
      <c r="P445" s="805"/>
      <c r="Q445" s="802"/>
    </row>
    <row r="446" spans="1:17">
      <c r="A446" s="197" t="s">
        <v>2439</v>
      </c>
      <c r="B446" s="202" t="s">
        <v>2415</v>
      </c>
      <c r="C446" s="576"/>
      <c r="D446" s="807">
        <v>75.020200000000003</v>
      </c>
      <c r="E446" s="805"/>
      <c r="F446" s="805"/>
      <c r="G446" s="805">
        <v>75.020200000000003</v>
      </c>
      <c r="H446" s="805"/>
      <c r="I446" s="805"/>
      <c r="J446" s="805"/>
      <c r="K446" s="805"/>
      <c r="L446" s="805"/>
      <c r="M446" s="805"/>
      <c r="N446" s="805">
        <v>17.0319</v>
      </c>
      <c r="O446" s="576">
        <v>57.988300000000002</v>
      </c>
      <c r="P446" s="805"/>
      <c r="Q446" s="802">
        <v>57.988300000000002</v>
      </c>
    </row>
    <row r="447" spans="1:17">
      <c r="A447" s="197" t="s">
        <v>2440</v>
      </c>
      <c r="B447" s="202" t="s">
        <v>2441</v>
      </c>
      <c r="C447" s="576"/>
      <c r="D447" s="807">
        <v>236.131</v>
      </c>
      <c r="E447" s="805"/>
      <c r="F447" s="805"/>
      <c r="G447" s="805">
        <v>236.131</v>
      </c>
      <c r="H447" s="805"/>
      <c r="I447" s="805"/>
      <c r="J447" s="805"/>
      <c r="K447" s="805"/>
      <c r="L447" s="805"/>
      <c r="M447" s="805"/>
      <c r="N447" s="805">
        <v>102.22993</v>
      </c>
      <c r="O447" s="576">
        <v>133.90107</v>
      </c>
      <c r="P447" s="805"/>
      <c r="Q447" s="805">
        <v>133.90107</v>
      </c>
    </row>
    <row r="448" spans="1:17" ht="31.5">
      <c r="A448" s="197" t="s">
        <v>2442</v>
      </c>
      <c r="B448" s="202" t="s">
        <v>2443</v>
      </c>
      <c r="C448" s="576"/>
      <c r="D448" s="805">
        <v>651.49580000000003</v>
      </c>
      <c r="E448" s="805"/>
      <c r="F448" s="805"/>
      <c r="G448" s="805">
        <v>651.49580000000003</v>
      </c>
      <c r="H448" s="805"/>
      <c r="I448" s="805"/>
      <c r="J448" s="805"/>
      <c r="K448" s="805"/>
      <c r="L448" s="805"/>
      <c r="M448" s="805"/>
      <c r="N448" s="805">
        <v>604.27402600000005</v>
      </c>
      <c r="O448" s="576">
        <v>47.221773999999982</v>
      </c>
      <c r="P448" s="805"/>
      <c r="Q448" s="805">
        <v>47.221773999999982</v>
      </c>
    </row>
    <row r="449" spans="1:17">
      <c r="A449" s="186" t="s">
        <v>1740</v>
      </c>
      <c r="B449" s="776" t="s">
        <v>1831</v>
      </c>
      <c r="C449" s="806">
        <v>433</v>
      </c>
      <c r="D449" s="806">
        <v>5225.8149999999996</v>
      </c>
      <c r="E449" s="806">
        <v>4305</v>
      </c>
      <c r="F449" s="806">
        <v>152.91500000000002</v>
      </c>
      <c r="G449" s="806">
        <v>0</v>
      </c>
      <c r="H449" s="806">
        <v>767.9</v>
      </c>
      <c r="I449" s="806"/>
      <c r="J449" s="806">
        <v>0</v>
      </c>
      <c r="K449" s="806"/>
      <c r="L449" s="806">
        <v>0</v>
      </c>
      <c r="M449" s="806">
        <v>0</v>
      </c>
      <c r="N449" s="806">
        <v>5644.6239999999998</v>
      </c>
      <c r="O449" s="806">
        <v>14.190999999999804</v>
      </c>
      <c r="P449" s="806">
        <v>0</v>
      </c>
      <c r="Q449" s="806">
        <v>14.191000000000001</v>
      </c>
    </row>
    <row r="450" spans="1:17" ht="31.5">
      <c r="A450" s="197">
        <v>1</v>
      </c>
      <c r="B450" s="202" t="s">
        <v>1741</v>
      </c>
      <c r="C450" s="805">
        <v>433</v>
      </c>
      <c r="D450" s="805">
        <v>5152.3149999999996</v>
      </c>
      <c r="E450" s="805">
        <v>4305</v>
      </c>
      <c r="F450" s="805">
        <v>79.415000000000006</v>
      </c>
      <c r="G450" s="805"/>
      <c r="H450" s="805">
        <v>767.9</v>
      </c>
      <c r="I450" s="805"/>
      <c r="J450" s="805"/>
      <c r="K450" s="805"/>
      <c r="L450" s="805"/>
      <c r="M450" s="805"/>
      <c r="N450" s="805">
        <v>5571.1239999999998</v>
      </c>
      <c r="O450" s="576">
        <v>14.190999999999804</v>
      </c>
      <c r="P450" s="805"/>
      <c r="Q450" s="802">
        <v>14.191000000000001</v>
      </c>
    </row>
    <row r="451" spans="1:17">
      <c r="A451" s="197">
        <v>2</v>
      </c>
      <c r="B451" s="785" t="s">
        <v>343</v>
      </c>
      <c r="C451" s="576"/>
      <c r="D451" s="805">
        <v>73.5</v>
      </c>
      <c r="E451" s="805"/>
      <c r="F451" s="805">
        <v>73.5</v>
      </c>
      <c r="G451" s="805"/>
      <c r="H451" s="805"/>
      <c r="I451" s="805"/>
      <c r="J451" s="805"/>
      <c r="K451" s="805"/>
      <c r="L451" s="805"/>
      <c r="M451" s="805"/>
      <c r="N451" s="805">
        <v>73.5</v>
      </c>
      <c r="O451" s="576">
        <v>0</v>
      </c>
      <c r="P451" s="805"/>
      <c r="Q451" s="802"/>
    </row>
    <row r="452" spans="1:17">
      <c r="A452" s="197">
        <v>3</v>
      </c>
      <c r="B452" s="785" t="s">
        <v>1742</v>
      </c>
      <c r="C452" s="576"/>
      <c r="D452" s="805">
        <v>0</v>
      </c>
      <c r="E452" s="805"/>
      <c r="F452" s="805"/>
      <c r="G452" s="805"/>
      <c r="H452" s="805"/>
      <c r="I452" s="805"/>
      <c r="J452" s="805"/>
      <c r="K452" s="805"/>
      <c r="L452" s="805"/>
      <c r="M452" s="805"/>
      <c r="N452" s="805"/>
      <c r="O452" s="576">
        <v>0</v>
      </c>
      <c r="P452" s="805"/>
      <c r="Q452" s="802"/>
    </row>
    <row r="453" spans="1:17">
      <c r="A453" s="186" t="s">
        <v>1743</v>
      </c>
      <c r="B453" s="776" t="s">
        <v>1744</v>
      </c>
      <c r="C453" s="578">
        <v>0</v>
      </c>
      <c r="D453" s="578">
        <v>95626.499999999985</v>
      </c>
      <c r="E453" s="578">
        <v>39800</v>
      </c>
      <c r="F453" s="578">
        <v>55514.999999999985</v>
      </c>
      <c r="G453" s="578">
        <v>311.5</v>
      </c>
      <c r="H453" s="578">
        <v>0</v>
      </c>
      <c r="I453" s="578">
        <v>0</v>
      </c>
      <c r="J453" s="578">
        <v>0</v>
      </c>
      <c r="K453" s="578">
        <v>0</v>
      </c>
      <c r="L453" s="578">
        <v>0</v>
      </c>
      <c r="M453" s="578">
        <v>0</v>
      </c>
      <c r="N453" s="578">
        <v>95511.585000000006</v>
      </c>
      <c r="O453" s="578">
        <v>114.91499999997905</v>
      </c>
      <c r="P453" s="578">
        <v>0</v>
      </c>
      <c r="Q453" s="578">
        <v>114.91500000000001</v>
      </c>
    </row>
    <row r="454" spans="1:17">
      <c r="A454" s="197"/>
      <c r="B454" s="785" t="s">
        <v>1745</v>
      </c>
      <c r="C454" s="576"/>
      <c r="D454" s="807">
        <v>95626.499999999985</v>
      </c>
      <c r="E454" s="805">
        <v>39800</v>
      </c>
      <c r="F454" s="805">
        <v>55514.999999999985</v>
      </c>
      <c r="G454" s="805">
        <v>311.5</v>
      </c>
      <c r="H454" s="805"/>
      <c r="I454" s="805"/>
      <c r="J454" s="805"/>
      <c r="K454" s="805"/>
      <c r="L454" s="805"/>
      <c r="M454" s="805"/>
      <c r="N454" s="805">
        <v>95511.585000000006</v>
      </c>
      <c r="O454" s="576">
        <v>114.91499999997905</v>
      </c>
      <c r="P454" s="805"/>
      <c r="Q454" s="805">
        <v>114.91500000000001</v>
      </c>
    </row>
    <row r="455" spans="1:17">
      <c r="A455" s="197"/>
      <c r="B455" s="785" t="s">
        <v>1929</v>
      </c>
      <c r="C455" s="576"/>
      <c r="D455" s="807">
        <v>0</v>
      </c>
      <c r="E455" s="805"/>
      <c r="F455" s="805"/>
      <c r="G455" s="805"/>
      <c r="H455" s="805"/>
      <c r="I455" s="805"/>
      <c r="J455" s="805"/>
      <c r="K455" s="805"/>
      <c r="L455" s="805"/>
      <c r="M455" s="805"/>
      <c r="N455" s="805"/>
      <c r="O455" s="576">
        <v>0</v>
      </c>
      <c r="P455" s="805"/>
      <c r="Q455" s="805"/>
    </row>
    <row r="456" spans="1:17">
      <c r="A456" s="197"/>
      <c r="B456" s="785" t="s">
        <v>1930</v>
      </c>
      <c r="C456" s="576"/>
      <c r="D456" s="807">
        <v>0</v>
      </c>
      <c r="E456" s="805"/>
      <c r="F456" s="805"/>
      <c r="G456" s="805"/>
      <c r="H456" s="805"/>
      <c r="I456" s="805"/>
      <c r="J456" s="805"/>
      <c r="K456" s="805"/>
      <c r="L456" s="805"/>
      <c r="M456" s="805"/>
      <c r="N456" s="805"/>
      <c r="O456" s="576">
        <v>0</v>
      </c>
      <c r="P456" s="805"/>
      <c r="Q456" s="805"/>
    </row>
    <row r="457" spans="1:17">
      <c r="A457" s="197"/>
      <c r="B457" s="785" t="s">
        <v>1535</v>
      </c>
      <c r="C457" s="576"/>
      <c r="D457" s="807">
        <v>0</v>
      </c>
      <c r="E457" s="805"/>
      <c r="F457" s="805"/>
      <c r="G457" s="805"/>
      <c r="H457" s="805"/>
      <c r="I457" s="805"/>
      <c r="J457" s="805"/>
      <c r="K457" s="805"/>
      <c r="L457" s="805"/>
      <c r="M457" s="805"/>
      <c r="N457" s="805"/>
      <c r="O457" s="576">
        <v>0</v>
      </c>
      <c r="P457" s="805"/>
      <c r="Q457" s="805"/>
    </row>
    <row r="458" spans="1:17">
      <c r="A458" s="197"/>
      <c r="B458" s="785" t="s">
        <v>1931</v>
      </c>
      <c r="C458" s="576"/>
      <c r="D458" s="807">
        <v>0</v>
      </c>
      <c r="E458" s="805"/>
      <c r="F458" s="805"/>
      <c r="G458" s="805"/>
      <c r="H458" s="805"/>
      <c r="I458" s="805"/>
      <c r="J458" s="805"/>
      <c r="K458" s="805"/>
      <c r="L458" s="805"/>
      <c r="M458" s="805"/>
      <c r="N458" s="805"/>
      <c r="O458" s="576">
        <v>0</v>
      </c>
      <c r="P458" s="805"/>
      <c r="Q458" s="805"/>
    </row>
    <row r="459" spans="1:17">
      <c r="A459" s="186" t="s">
        <v>1746</v>
      </c>
      <c r="B459" s="776" t="s">
        <v>1747</v>
      </c>
      <c r="C459" s="786">
        <v>2432.6069399999997</v>
      </c>
      <c r="D459" s="786">
        <v>17151.584999999999</v>
      </c>
      <c r="E459" s="786">
        <v>10617</v>
      </c>
      <c r="F459" s="786">
        <v>7000</v>
      </c>
      <c r="G459" s="786">
        <v>915.23099999999999</v>
      </c>
      <c r="H459" s="786">
        <v>0</v>
      </c>
      <c r="I459" s="786">
        <v>0</v>
      </c>
      <c r="J459" s="786">
        <v>3526</v>
      </c>
      <c r="K459" s="786">
        <v>4906.6459999999997</v>
      </c>
      <c r="L459" s="786">
        <v>0</v>
      </c>
      <c r="M459" s="786">
        <v>0</v>
      </c>
      <c r="N459" s="786">
        <v>17677.960202000002</v>
      </c>
      <c r="O459" s="786">
        <v>1906.2317379999986</v>
      </c>
      <c r="P459" s="786">
        <v>1259.9569999999999</v>
      </c>
      <c r="Q459" s="786">
        <v>646.27473799999939</v>
      </c>
    </row>
    <row r="460" spans="1:17" ht="21.75" customHeight="1">
      <c r="A460" s="769">
        <v>1</v>
      </c>
      <c r="B460" s="770" t="s">
        <v>1358</v>
      </c>
      <c r="C460" s="576">
        <v>2353.9939399999998</v>
      </c>
      <c r="D460" s="817">
        <v>2619.3540000000003</v>
      </c>
      <c r="E460" s="576">
        <v>4000</v>
      </c>
      <c r="F460" s="576"/>
      <c r="H460" s="576"/>
      <c r="I460" s="576"/>
      <c r="J460" s="576"/>
      <c r="K460" s="576">
        <v>1380.646</v>
      </c>
      <c r="L460" s="576"/>
      <c r="M460" s="576"/>
      <c r="N460" s="576">
        <v>4973.3475440000002</v>
      </c>
      <c r="O460" s="576">
        <v>3.9599999945494346E-4</v>
      </c>
      <c r="P460" s="576"/>
      <c r="Q460" s="576">
        <v>3.9599999945494346E-4</v>
      </c>
    </row>
    <row r="461" spans="1:17" ht="35.25" customHeight="1">
      <c r="A461" s="769">
        <v>2</v>
      </c>
      <c r="B461" s="770" t="s">
        <v>1768</v>
      </c>
      <c r="C461" s="576"/>
      <c r="D461" s="817">
        <v>0</v>
      </c>
      <c r="E461" s="576">
        <v>3526</v>
      </c>
      <c r="F461" s="576"/>
      <c r="G461" s="576"/>
      <c r="H461" s="576"/>
      <c r="I461" s="576"/>
      <c r="J461" s="576"/>
      <c r="K461" s="576">
        <v>3526</v>
      </c>
      <c r="L461" s="576"/>
      <c r="M461" s="576"/>
      <c r="N461" s="576"/>
      <c r="O461" s="576">
        <v>0</v>
      </c>
      <c r="P461" s="576"/>
      <c r="Q461" s="576"/>
    </row>
    <row r="462" spans="1:17" ht="25.5" customHeight="1">
      <c r="A462" s="769">
        <v>3</v>
      </c>
      <c r="B462" s="770" t="s">
        <v>1678</v>
      </c>
      <c r="C462" s="576">
        <v>78.613</v>
      </c>
      <c r="D462" s="817">
        <v>12884.111000000001</v>
      </c>
      <c r="E462" s="576">
        <v>2604</v>
      </c>
      <c r="F462" s="576">
        <v>6100</v>
      </c>
      <c r="G462" s="576">
        <v>654.11099999999999</v>
      </c>
      <c r="H462" s="576"/>
      <c r="I462" s="576"/>
      <c r="J462" s="576">
        <v>3526</v>
      </c>
      <c r="K462" s="576"/>
      <c r="L462" s="576"/>
      <c r="M462" s="576"/>
      <c r="N462" s="576">
        <v>11122.883600000001</v>
      </c>
      <c r="O462" s="576">
        <v>1839.8403999999991</v>
      </c>
      <c r="P462" s="576">
        <v>1216.847</v>
      </c>
      <c r="Q462" s="576">
        <v>622.99339999999995</v>
      </c>
    </row>
    <row r="463" spans="1:17" ht="38.25" customHeight="1">
      <c r="A463" s="769">
        <v>4</v>
      </c>
      <c r="B463" s="770" t="s">
        <v>1719</v>
      </c>
      <c r="C463" s="576"/>
      <c r="D463" s="817">
        <v>748.12</v>
      </c>
      <c r="E463" s="576">
        <v>487</v>
      </c>
      <c r="F463" s="576"/>
      <c r="G463" s="576">
        <v>261.12</v>
      </c>
      <c r="H463" s="576"/>
      <c r="I463" s="576"/>
      <c r="J463" s="576"/>
      <c r="K463" s="576"/>
      <c r="L463" s="576"/>
      <c r="M463" s="576"/>
      <c r="N463" s="576">
        <v>697.53929999999991</v>
      </c>
      <c r="O463" s="576">
        <v>50.580700000000093</v>
      </c>
      <c r="P463" s="576">
        <v>43.11</v>
      </c>
      <c r="Q463" s="576">
        <v>7.4706999999999999</v>
      </c>
    </row>
    <row r="464" spans="1:17" ht="84" hidden="1" customHeight="1">
      <c r="A464" s="769">
        <v>4</v>
      </c>
      <c r="B464" s="784" t="s">
        <v>1832</v>
      </c>
      <c r="C464" s="818"/>
      <c r="D464" s="817">
        <v>0</v>
      </c>
      <c r="E464" s="818"/>
      <c r="F464" s="818"/>
      <c r="G464" s="818"/>
      <c r="H464" s="818"/>
      <c r="I464" s="818"/>
      <c r="J464" s="818"/>
      <c r="K464" s="818"/>
      <c r="L464" s="818"/>
      <c r="M464" s="818"/>
      <c r="N464" s="818"/>
      <c r="O464" s="818">
        <v>0</v>
      </c>
      <c r="P464" s="818"/>
      <c r="Q464" s="818"/>
    </row>
    <row r="465" spans="1:17" ht="93" hidden="1" customHeight="1">
      <c r="A465" s="769">
        <v>5</v>
      </c>
      <c r="B465" s="784" t="s">
        <v>1833</v>
      </c>
      <c r="C465" s="818"/>
      <c r="D465" s="817">
        <v>0</v>
      </c>
      <c r="E465" s="818"/>
      <c r="F465" s="818"/>
      <c r="G465" s="818"/>
      <c r="H465" s="818"/>
      <c r="I465" s="818"/>
      <c r="J465" s="818"/>
      <c r="K465" s="818"/>
      <c r="L465" s="818"/>
      <c r="M465" s="818"/>
      <c r="N465" s="818"/>
      <c r="O465" s="818"/>
      <c r="P465" s="818"/>
      <c r="Q465" s="818"/>
    </row>
    <row r="466" spans="1:17" ht="78.75" hidden="1" customHeight="1">
      <c r="A466" s="769">
        <v>6</v>
      </c>
      <c r="B466" s="784" t="s">
        <v>1834</v>
      </c>
      <c r="C466" s="818"/>
      <c r="D466" s="817">
        <v>0</v>
      </c>
      <c r="E466" s="818"/>
      <c r="F466" s="818"/>
      <c r="G466" s="818"/>
      <c r="H466" s="818"/>
      <c r="I466" s="818"/>
      <c r="J466" s="818"/>
      <c r="K466" s="818"/>
      <c r="L466" s="818"/>
      <c r="M466" s="818"/>
      <c r="N466" s="818"/>
      <c r="O466" s="818"/>
      <c r="P466" s="818"/>
      <c r="Q466" s="818"/>
    </row>
    <row r="467" spans="1:17" ht="93.75" hidden="1" customHeight="1">
      <c r="A467" s="769">
        <v>7</v>
      </c>
      <c r="B467" s="784" t="s">
        <v>1835</v>
      </c>
      <c r="C467" s="818"/>
      <c r="D467" s="817">
        <v>0</v>
      </c>
      <c r="E467" s="818"/>
      <c r="F467" s="818"/>
      <c r="G467" s="818"/>
      <c r="H467" s="818"/>
      <c r="I467" s="818"/>
      <c r="J467" s="818"/>
      <c r="K467" s="818"/>
      <c r="L467" s="818"/>
      <c r="M467" s="818"/>
      <c r="N467" s="818"/>
      <c r="O467" s="818">
        <v>0</v>
      </c>
      <c r="P467" s="818"/>
      <c r="Q467" s="818"/>
    </row>
    <row r="468" spans="1:17" ht="110.25" customHeight="1">
      <c r="A468" s="769">
        <v>8</v>
      </c>
      <c r="B468" s="202" t="s">
        <v>2269</v>
      </c>
      <c r="C468" s="576">
        <v>0</v>
      </c>
      <c r="D468" s="576">
        <v>900</v>
      </c>
      <c r="E468" s="576"/>
      <c r="F468" s="576">
        <v>900</v>
      </c>
      <c r="G468" s="576">
        <v>0</v>
      </c>
      <c r="H468" s="576">
        <v>0</v>
      </c>
      <c r="I468" s="576">
        <v>0</v>
      </c>
      <c r="J468" s="576">
        <v>0</v>
      </c>
      <c r="K468" s="576">
        <v>0</v>
      </c>
      <c r="L468" s="576">
        <v>0</v>
      </c>
      <c r="M468" s="576">
        <v>0</v>
      </c>
      <c r="N468" s="576">
        <v>884.18975799999998</v>
      </c>
      <c r="O468" s="576">
        <v>15.810242000000017</v>
      </c>
      <c r="P468" s="576">
        <v>0</v>
      </c>
      <c r="Q468" s="576">
        <v>15.810242000000017</v>
      </c>
    </row>
    <row r="469" spans="1:17" s="529" customFormat="1">
      <c r="A469" s="794"/>
      <c r="B469" s="779" t="s">
        <v>1678</v>
      </c>
      <c r="C469" s="802"/>
      <c r="D469" s="819">
        <v>0</v>
      </c>
      <c r="E469" s="819"/>
      <c r="F469" s="579"/>
      <c r="G469" s="579"/>
      <c r="H469" s="579"/>
      <c r="I469" s="579"/>
      <c r="J469" s="579"/>
      <c r="K469" s="579"/>
      <c r="L469" s="579"/>
      <c r="M469" s="579"/>
      <c r="N469" s="819"/>
      <c r="O469" s="819">
        <v>0</v>
      </c>
      <c r="P469" s="819"/>
      <c r="Q469" s="579"/>
    </row>
    <row r="470" spans="1:17" s="529" customFormat="1" ht="31.5">
      <c r="A470" s="794"/>
      <c r="B470" s="772" t="s">
        <v>1722</v>
      </c>
      <c r="C470" s="579"/>
      <c r="D470" s="819">
        <v>900</v>
      </c>
      <c r="E470" s="819"/>
      <c r="F470" s="579">
        <v>900</v>
      </c>
      <c r="G470" s="579"/>
      <c r="H470" s="579"/>
      <c r="I470" s="579"/>
      <c r="J470" s="579"/>
      <c r="K470" s="579"/>
      <c r="L470" s="579"/>
      <c r="M470" s="579"/>
      <c r="N470" s="579">
        <v>884.18975799999998</v>
      </c>
      <c r="O470" s="819">
        <v>15.810242000000017</v>
      </c>
      <c r="P470" s="579"/>
      <c r="Q470" s="579">
        <v>15.810242000000017</v>
      </c>
    </row>
    <row r="471" spans="1:17" s="529" customFormat="1">
      <c r="A471" s="794">
        <v>9</v>
      </c>
      <c r="B471" s="772" t="s">
        <v>2270</v>
      </c>
      <c r="C471" s="579"/>
      <c r="D471" s="819">
        <v>0</v>
      </c>
      <c r="E471" s="819"/>
      <c r="F471" s="579"/>
      <c r="G471" s="579"/>
      <c r="H471" s="579"/>
      <c r="I471" s="579"/>
      <c r="J471" s="579"/>
      <c r="K471" s="579"/>
      <c r="L471" s="579"/>
      <c r="M471" s="579"/>
      <c r="N471" s="579"/>
      <c r="O471" s="819">
        <v>0</v>
      </c>
      <c r="P471" s="579"/>
      <c r="Q471" s="579"/>
    </row>
    <row r="472" spans="1:17">
      <c r="A472" s="186" t="s">
        <v>1836</v>
      </c>
      <c r="B472" s="767" t="s">
        <v>1498</v>
      </c>
      <c r="C472" s="578">
        <v>172.7</v>
      </c>
      <c r="D472" s="578">
        <v>17927.156999999999</v>
      </c>
      <c r="E472" s="578">
        <v>11562</v>
      </c>
      <c r="F472" s="578">
        <v>4755.8809999999994</v>
      </c>
      <c r="G472" s="578">
        <v>1074.076</v>
      </c>
      <c r="H472" s="578">
        <v>591.87</v>
      </c>
      <c r="I472" s="578">
        <v>0</v>
      </c>
      <c r="J472" s="578">
        <v>0</v>
      </c>
      <c r="K472" s="578">
        <v>56.67</v>
      </c>
      <c r="L472" s="578">
        <v>0</v>
      </c>
      <c r="M472" s="578">
        <v>0</v>
      </c>
      <c r="N472" s="578">
        <v>16930.701877</v>
      </c>
      <c r="O472" s="578">
        <v>1169.1551230000002</v>
      </c>
      <c r="P472" s="578">
        <v>850.654</v>
      </c>
      <c r="Q472" s="578">
        <v>317.761123</v>
      </c>
    </row>
    <row r="473" spans="1:17">
      <c r="A473" s="769">
        <v>1</v>
      </c>
      <c r="B473" s="770" t="s">
        <v>1348</v>
      </c>
      <c r="C473" s="576"/>
      <c r="D473" s="807">
        <v>2742.0910000000003</v>
      </c>
      <c r="E473" s="805">
        <v>2180</v>
      </c>
      <c r="F473" s="805">
        <v>96.707999999999998</v>
      </c>
      <c r="G473" s="805">
        <v>465.38300000000004</v>
      </c>
      <c r="H473" s="805"/>
      <c r="I473" s="805"/>
      <c r="J473" s="805"/>
      <c r="K473" s="805"/>
      <c r="L473" s="805"/>
      <c r="M473" s="805"/>
      <c r="N473" s="805">
        <v>2739.5959999999995</v>
      </c>
      <c r="O473" s="576">
        <v>2.4950000000008004</v>
      </c>
      <c r="P473" s="805"/>
      <c r="Q473" s="805">
        <v>2.4950000000000001</v>
      </c>
    </row>
    <row r="474" spans="1:17">
      <c r="A474" s="769">
        <v>2</v>
      </c>
      <c r="B474" s="770" t="s">
        <v>2271</v>
      </c>
      <c r="C474" s="576"/>
      <c r="D474" s="807">
        <v>366.05700000000002</v>
      </c>
      <c r="E474" s="805">
        <v>350</v>
      </c>
      <c r="F474" s="805">
        <v>16.056999999999999</v>
      </c>
      <c r="G474" s="805"/>
      <c r="H474" s="805"/>
      <c r="I474" s="805"/>
      <c r="J474" s="805"/>
      <c r="K474" s="805"/>
      <c r="L474" s="805"/>
      <c r="M474" s="805"/>
      <c r="N474" s="805">
        <v>293.78031099999998</v>
      </c>
      <c r="O474" s="576">
        <v>72.276689000000033</v>
      </c>
      <c r="P474" s="805"/>
      <c r="Q474" s="805">
        <v>72.276689000000005</v>
      </c>
    </row>
    <row r="475" spans="1:17" ht="28.5" customHeight="1">
      <c r="A475" s="769">
        <v>3</v>
      </c>
      <c r="B475" s="770" t="s">
        <v>1500</v>
      </c>
      <c r="C475" s="805"/>
      <c r="D475" s="805">
        <v>3253.96</v>
      </c>
      <c r="E475" s="805">
        <v>2962</v>
      </c>
      <c r="F475" s="805">
        <v>172</v>
      </c>
      <c r="G475" s="805"/>
      <c r="H475" s="805">
        <v>119.96</v>
      </c>
      <c r="I475" s="805"/>
      <c r="J475" s="805"/>
      <c r="K475" s="805"/>
      <c r="L475" s="805"/>
      <c r="M475" s="805"/>
      <c r="N475" s="805">
        <v>3232.7461089999997</v>
      </c>
      <c r="O475" s="576">
        <v>21.213891000000331</v>
      </c>
      <c r="P475" s="805">
        <v>20.827999999999999</v>
      </c>
      <c r="Q475" s="805">
        <v>0.38589099999999998</v>
      </c>
    </row>
    <row r="476" spans="1:17">
      <c r="A476" s="769">
        <v>4</v>
      </c>
      <c r="B476" s="770" t="s">
        <v>1748</v>
      </c>
      <c r="C476" s="576"/>
      <c r="D476" s="807">
        <v>3532.607</v>
      </c>
      <c r="E476" s="805">
        <v>3433</v>
      </c>
      <c r="F476" s="805">
        <v>99.606999999999999</v>
      </c>
      <c r="G476" s="805"/>
      <c r="H476" s="805"/>
      <c r="I476" s="805"/>
      <c r="J476" s="805"/>
      <c r="K476" s="805"/>
      <c r="L476" s="805"/>
      <c r="M476" s="805"/>
      <c r="N476" s="805">
        <v>3532.607</v>
      </c>
      <c r="O476" s="576">
        <v>0</v>
      </c>
      <c r="P476" s="805"/>
      <c r="Q476" s="805"/>
    </row>
    <row r="477" spans="1:17" ht="31.5">
      <c r="A477" s="769">
        <v>5</v>
      </c>
      <c r="B477" s="770" t="s">
        <v>1742</v>
      </c>
      <c r="C477" s="576"/>
      <c r="D477" s="805">
        <v>4570.4419999999991</v>
      </c>
      <c r="E477" s="805">
        <v>1154</v>
      </c>
      <c r="F477" s="805">
        <v>2392.5089999999996</v>
      </c>
      <c r="G477" s="805">
        <v>608.69299999999998</v>
      </c>
      <c r="H477" s="805">
        <v>471.91</v>
      </c>
      <c r="I477" s="805"/>
      <c r="J477" s="805"/>
      <c r="K477" s="805">
        <v>56.67</v>
      </c>
      <c r="L477" s="805"/>
      <c r="M477" s="805"/>
      <c r="N477" s="805">
        <v>3543.7124570000001</v>
      </c>
      <c r="O477" s="576">
        <v>1026.729542999999</v>
      </c>
      <c r="P477" s="805">
        <v>784.12599999999998</v>
      </c>
      <c r="Q477" s="805">
        <v>242.603543</v>
      </c>
    </row>
    <row r="478" spans="1:17" ht="31.5">
      <c r="A478" s="769">
        <v>6</v>
      </c>
      <c r="B478" s="770" t="s">
        <v>2146</v>
      </c>
      <c r="C478" s="576">
        <v>172.7</v>
      </c>
      <c r="D478" s="805">
        <v>655</v>
      </c>
      <c r="E478" s="805">
        <v>0</v>
      </c>
      <c r="F478" s="805">
        <v>655</v>
      </c>
      <c r="G478" s="805"/>
      <c r="H478" s="805"/>
      <c r="I478" s="805"/>
      <c r="J478" s="805"/>
      <c r="K478" s="805"/>
      <c r="L478" s="805"/>
      <c r="M478" s="805"/>
      <c r="N478" s="805">
        <v>782</v>
      </c>
      <c r="O478" s="576">
        <v>45.700000000000045</v>
      </c>
      <c r="P478" s="805">
        <v>45.700000000000045</v>
      </c>
      <c r="Q478" s="805"/>
    </row>
    <row r="479" spans="1:17" ht="31.5">
      <c r="A479" s="769">
        <v>7</v>
      </c>
      <c r="B479" s="770" t="s">
        <v>2152</v>
      </c>
      <c r="C479" s="576">
        <v>0</v>
      </c>
      <c r="D479" s="805">
        <v>930</v>
      </c>
      <c r="E479" s="805">
        <v>0</v>
      </c>
      <c r="F479" s="805">
        <v>930</v>
      </c>
      <c r="G479" s="805"/>
      <c r="H479" s="805"/>
      <c r="I479" s="805"/>
      <c r="J479" s="805"/>
      <c r="K479" s="805"/>
      <c r="L479" s="805"/>
      <c r="M479" s="805"/>
      <c r="N479" s="805">
        <v>929.26</v>
      </c>
      <c r="O479" s="576">
        <v>0.74000000000000909</v>
      </c>
      <c r="P479" s="805"/>
      <c r="Q479" s="805"/>
    </row>
    <row r="480" spans="1:17" ht="31.5">
      <c r="A480" s="769">
        <v>8</v>
      </c>
      <c r="B480" s="770" t="s">
        <v>2155</v>
      </c>
      <c r="C480" s="576">
        <v>0</v>
      </c>
      <c r="D480" s="805">
        <v>300</v>
      </c>
      <c r="E480" s="805">
        <v>300</v>
      </c>
      <c r="F480" s="805">
        <v>0</v>
      </c>
      <c r="G480" s="805"/>
      <c r="H480" s="805"/>
      <c r="I480" s="805"/>
      <c r="J480" s="805"/>
      <c r="K480" s="805"/>
      <c r="L480" s="805"/>
      <c r="M480" s="805"/>
      <c r="N480" s="805">
        <v>300</v>
      </c>
      <c r="O480" s="576">
        <v>0</v>
      </c>
      <c r="P480" s="805"/>
      <c r="Q480" s="805"/>
    </row>
    <row r="481" spans="1:17">
      <c r="A481" s="769">
        <v>9</v>
      </c>
      <c r="B481" s="785" t="s">
        <v>1837</v>
      </c>
      <c r="C481" s="576"/>
      <c r="D481" s="805">
        <v>0</v>
      </c>
      <c r="E481" s="805"/>
      <c r="F481" s="805"/>
      <c r="G481" s="805"/>
      <c r="H481" s="805"/>
      <c r="I481" s="805"/>
      <c r="J481" s="805"/>
      <c r="K481" s="805"/>
      <c r="L481" s="805"/>
      <c r="M481" s="805"/>
      <c r="N481" s="805"/>
      <c r="O481" s="576">
        <v>0</v>
      </c>
      <c r="P481" s="805"/>
      <c r="Q481" s="805"/>
    </row>
    <row r="482" spans="1:17">
      <c r="A482" s="769">
        <v>10</v>
      </c>
      <c r="B482" s="785" t="s">
        <v>1774</v>
      </c>
      <c r="C482" s="576"/>
      <c r="D482" s="807">
        <v>0</v>
      </c>
      <c r="E482" s="805"/>
      <c r="F482" s="805"/>
      <c r="G482" s="805"/>
      <c r="H482" s="805"/>
      <c r="I482" s="805"/>
      <c r="J482" s="805"/>
      <c r="K482" s="805"/>
      <c r="L482" s="805"/>
      <c r="M482" s="805"/>
      <c r="N482" s="805"/>
      <c r="O482" s="576">
        <v>0</v>
      </c>
      <c r="P482" s="805"/>
      <c r="Q482" s="805"/>
    </row>
    <row r="483" spans="1:17">
      <c r="A483" s="769">
        <v>11</v>
      </c>
      <c r="B483" s="198" t="s">
        <v>1838</v>
      </c>
      <c r="C483" s="576"/>
      <c r="D483" s="807">
        <v>1577</v>
      </c>
      <c r="E483" s="805">
        <v>1183</v>
      </c>
      <c r="F483" s="805">
        <v>394</v>
      </c>
      <c r="G483" s="805"/>
      <c r="H483" s="805"/>
      <c r="I483" s="805"/>
      <c r="J483" s="805"/>
      <c r="K483" s="805"/>
      <c r="L483" s="805"/>
      <c r="M483" s="805"/>
      <c r="N483" s="805">
        <v>1577</v>
      </c>
      <c r="O483" s="576">
        <v>0</v>
      </c>
      <c r="P483" s="805"/>
      <c r="Q483" s="805"/>
    </row>
    <row r="484" spans="1:17" ht="63">
      <c r="A484" s="186" t="s">
        <v>1839</v>
      </c>
      <c r="B484" s="535" t="s">
        <v>1749</v>
      </c>
      <c r="C484" s="576">
        <v>0</v>
      </c>
      <c r="D484" s="806">
        <v>57002.472188000102</v>
      </c>
      <c r="E484" s="806">
        <v>120</v>
      </c>
      <c r="F484" s="806">
        <v>56882.472188000102</v>
      </c>
      <c r="G484" s="806">
        <v>0</v>
      </c>
      <c r="H484" s="806">
        <v>0</v>
      </c>
      <c r="I484" s="806">
        <v>0</v>
      </c>
      <c r="J484" s="806">
        <v>0</v>
      </c>
      <c r="K484" s="806">
        <v>0</v>
      </c>
      <c r="L484" s="806">
        <v>0</v>
      </c>
      <c r="M484" s="806">
        <v>0</v>
      </c>
      <c r="N484" s="806">
        <v>57002.472188000102</v>
      </c>
      <c r="O484" s="806">
        <v>0</v>
      </c>
      <c r="P484" s="806">
        <v>0</v>
      </c>
      <c r="Q484" s="806">
        <v>0</v>
      </c>
    </row>
    <row r="485" spans="1:17">
      <c r="A485" s="197">
        <v>1</v>
      </c>
      <c r="B485" s="785" t="s">
        <v>1750</v>
      </c>
      <c r="C485" s="576"/>
      <c r="D485" s="807">
        <v>120</v>
      </c>
      <c r="E485" s="805">
        <v>120</v>
      </c>
      <c r="F485" s="805">
        <v>0</v>
      </c>
      <c r="G485" s="805">
        <v>0</v>
      </c>
      <c r="H485" s="805">
        <v>0</v>
      </c>
      <c r="I485" s="805">
        <v>0</v>
      </c>
      <c r="J485" s="805">
        <v>0</v>
      </c>
      <c r="K485" s="805"/>
      <c r="L485" s="805">
        <v>0</v>
      </c>
      <c r="M485" s="805"/>
      <c r="N485" s="805">
        <v>120</v>
      </c>
      <c r="O485" s="576">
        <v>0</v>
      </c>
      <c r="P485" s="805"/>
      <c r="Q485" s="805"/>
    </row>
    <row r="486" spans="1:17" ht="31.5">
      <c r="A486" s="197">
        <v>2</v>
      </c>
      <c r="B486" s="198" t="s">
        <v>2676</v>
      </c>
      <c r="C486" s="576"/>
      <c r="D486" s="807">
        <v>56882.472188000102</v>
      </c>
      <c r="E486" s="805">
        <v>0</v>
      </c>
      <c r="F486" s="805">
        <v>56882.472188000102</v>
      </c>
      <c r="G486" s="805"/>
      <c r="H486" s="805"/>
      <c r="I486" s="805"/>
      <c r="J486" s="805"/>
      <c r="K486" s="805"/>
      <c r="L486" s="805"/>
      <c r="M486" s="805"/>
      <c r="N486" s="805">
        <v>56882.472188000102</v>
      </c>
      <c r="O486" s="576">
        <v>0</v>
      </c>
      <c r="P486" s="805"/>
      <c r="Q486" s="805"/>
    </row>
    <row r="487" spans="1:17">
      <c r="A487" s="197"/>
      <c r="B487" s="202"/>
      <c r="C487" s="765"/>
      <c r="D487" s="916"/>
      <c r="E487" s="917"/>
      <c r="F487" s="917"/>
      <c r="G487" s="917"/>
      <c r="H487" s="917"/>
      <c r="I487" s="917"/>
      <c r="J487" s="917"/>
      <c r="K487" s="917"/>
      <c r="L487" s="917"/>
      <c r="M487" s="917"/>
      <c r="N487" s="917"/>
      <c r="O487" s="765"/>
      <c r="P487" s="917"/>
      <c r="Q487" s="917"/>
    </row>
    <row r="488" spans="1:17">
      <c r="A488" s="197"/>
      <c r="B488" s="785"/>
      <c r="C488" s="765"/>
      <c r="D488" s="916"/>
      <c r="E488" s="917"/>
      <c r="F488" s="917"/>
      <c r="G488" s="917"/>
      <c r="H488" s="917"/>
      <c r="I488" s="917"/>
      <c r="J488" s="917"/>
      <c r="K488" s="917"/>
      <c r="L488" s="917"/>
      <c r="M488" s="917"/>
      <c r="N488" s="917"/>
      <c r="O488" s="765"/>
      <c r="P488" s="917"/>
      <c r="Q488" s="917"/>
    </row>
    <row r="489" spans="1:17" ht="31.5">
      <c r="A489" s="186" t="s">
        <v>1840</v>
      </c>
      <c r="B489" s="535" t="s">
        <v>1751</v>
      </c>
      <c r="C489" s="768">
        <v>0</v>
      </c>
      <c r="D489" s="768">
        <v>5000</v>
      </c>
      <c r="E489" s="768">
        <v>5000</v>
      </c>
      <c r="F489" s="768">
        <v>0</v>
      </c>
      <c r="G489" s="768">
        <v>0</v>
      </c>
      <c r="H489" s="768">
        <v>0</v>
      </c>
      <c r="I489" s="768">
        <v>0</v>
      </c>
      <c r="J489" s="768">
        <v>0</v>
      </c>
      <c r="K489" s="768">
        <v>0</v>
      </c>
      <c r="L489" s="768">
        <v>0</v>
      </c>
      <c r="M489" s="768">
        <v>0</v>
      </c>
      <c r="N489" s="768">
        <v>4708.7369879999997</v>
      </c>
      <c r="O489" s="768">
        <v>291.26301200000034</v>
      </c>
      <c r="P489" s="768">
        <v>0</v>
      </c>
      <c r="Q489" s="768">
        <v>291.263012</v>
      </c>
    </row>
    <row r="490" spans="1:17" ht="31.5">
      <c r="A490" s="197">
        <v>1</v>
      </c>
      <c r="B490" s="202" t="s">
        <v>1752</v>
      </c>
      <c r="C490" s="765"/>
      <c r="D490" s="917">
        <v>5000</v>
      </c>
      <c r="E490" s="917">
        <v>5000</v>
      </c>
      <c r="F490" s="917"/>
      <c r="G490" s="917"/>
      <c r="H490" s="917"/>
      <c r="I490" s="917"/>
      <c r="J490" s="917"/>
      <c r="K490" s="917"/>
      <c r="L490" s="917"/>
      <c r="M490" s="917"/>
      <c r="N490" s="917">
        <v>4708.7369879999997</v>
      </c>
      <c r="O490" s="765">
        <v>291.26301200000034</v>
      </c>
      <c r="P490" s="917"/>
      <c r="Q490" s="917">
        <v>291.263012</v>
      </c>
    </row>
    <row r="491" spans="1:17" ht="31.5">
      <c r="A491" s="197">
        <v>2</v>
      </c>
      <c r="B491" s="202" t="s">
        <v>1841</v>
      </c>
      <c r="C491" s="765"/>
      <c r="D491" s="917">
        <v>0</v>
      </c>
      <c r="E491" s="917"/>
      <c r="F491" s="917"/>
      <c r="G491" s="917"/>
      <c r="H491" s="917"/>
      <c r="I491" s="917"/>
      <c r="J491" s="917"/>
      <c r="K491" s="917"/>
      <c r="L491" s="917"/>
      <c r="M491" s="917"/>
      <c r="N491" s="917"/>
      <c r="O491" s="765">
        <v>0</v>
      </c>
      <c r="P491" s="917"/>
      <c r="Q491" s="917"/>
    </row>
    <row r="492" spans="1:17" s="507" customFormat="1">
      <c r="A492" s="186" t="s">
        <v>1507</v>
      </c>
      <c r="B492" s="535" t="s">
        <v>2444</v>
      </c>
      <c r="C492" s="768">
        <v>0</v>
      </c>
      <c r="D492" s="922">
        <v>4272.22</v>
      </c>
      <c r="E492" s="922">
        <v>4272.22</v>
      </c>
      <c r="F492" s="922">
        <v>0</v>
      </c>
      <c r="G492" s="922">
        <v>0</v>
      </c>
      <c r="H492" s="922">
        <v>0</v>
      </c>
      <c r="I492" s="922">
        <v>0</v>
      </c>
      <c r="J492" s="922">
        <v>0</v>
      </c>
      <c r="K492" s="922">
        <v>0</v>
      </c>
      <c r="L492" s="922">
        <v>0</v>
      </c>
      <c r="M492" s="922">
        <v>0</v>
      </c>
      <c r="N492" s="922">
        <v>4272.22</v>
      </c>
      <c r="O492" s="922">
        <v>0</v>
      </c>
      <c r="P492" s="922">
        <v>0</v>
      </c>
      <c r="Q492" s="922">
        <v>0</v>
      </c>
    </row>
    <row r="493" spans="1:17" s="507" customFormat="1">
      <c r="A493" s="186"/>
      <c r="B493" s="785" t="s">
        <v>1707</v>
      </c>
      <c r="C493" s="768"/>
      <c r="D493" s="917">
        <v>4272.22</v>
      </c>
      <c r="E493" s="917">
        <v>4272.22</v>
      </c>
      <c r="F493" s="917"/>
      <c r="G493" s="917"/>
      <c r="H493" s="917"/>
      <c r="I493" s="917"/>
      <c r="J493" s="917"/>
      <c r="K493" s="917"/>
      <c r="L493" s="917"/>
      <c r="M493" s="917"/>
      <c r="N493" s="917">
        <v>4272.22</v>
      </c>
      <c r="O493" s="765"/>
      <c r="P493" s="917"/>
      <c r="Q493" s="917"/>
    </row>
    <row r="494" spans="1:17" ht="31.5">
      <c r="A494" s="766" t="s">
        <v>1842</v>
      </c>
      <c r="B494" s="767" t="s">
        <v>1932</v>
      </c>
      <c r="C494" s="768">
        <v>0</v>
      </c>
      <c r="D494" s="768">
        <v>5734.5840000000007</v>
      </c>
      <c r="E494" s="768">
        <v>6213.8</v>
      </c>
      <c r="F494" s="768"/>
      <c r="G494" s="768">
        <v>87.867999999999995</v>
      </c>
      <c r="H494" s="768">
        <v>0</v>
      </c>
      <c r="I494" s="768">
        <v>0</v>
      </c>
      <c r="J494" s="768">
        <v>0</v>
      </c>
      <c r="K494" s="768">
        <v>567.08399999999995</v>
      </c>
      <c r="L494" s="768">
        <v>0</v>
      </c>
      <c r="M494" s="768"/>
      <c r="N494" s="768">
        <v>5083.6217889999998</v>
      </c>
      <c r="O494" s="768">
        <v>650.96221100000071</v>
      </c>
      <c r="P494" s="768">
        <v>1.8260000000000001</v>
      </c>
      <c r="Q494" s="768">
        <v>649.136211</v>
      </c>
    </row>
    <row r="495" spans="1:17">
      <c r="A495" s="769">
        <v>1</v>
      </c>
      <c r="B495" s="770" t="s">
        <v>1753</v>
      </c>
      <c r="C495" s="765"/>
      <c r="D495" s="916">
        <v>1385.8679999999999</v>
      </c>
      <c r="E495" s="916">
        <v>1298</v>
      </c>
      <c r="F495" s="916"/>
      <c r="G495" s="917">
        <v>87.867999999999995</v>
      </c>
      <c r="H495" s="917"/>
      <c r="I495" s="917"/>
      <c r="J495" s="917"/>
      <c r="K495" s="917"/>
      <c r="L495" s="917"/>
      <c r="M495" s="917"/>
      <c r="N495" s="917">
        <v>1018.9926</v>
      </c>
      <c r="O495" s="765">
        <v>366.8753999999999</v>
      </c>
      <c r="P495" s="917">
        <v>1.762</v>
      </c>
      <c r="Q495" s="917">
        <v>365.11340000000001</v>
      </c>
    </row>
    <row r="496" spans="1:17" ht="31.5">
      <c r="A496" s="769">
        <v>2</v>
      </c>
      <c r="B496" s="770" t="s">
        <v>1933</v>
      </c>
      <c r="C496" s="765">
        <v>0</v>
      </c>
      <c r="D496" s="765">
        <v>4348.7160000000003</v>
      </c>
      <c r="E496" s="765">
        <v>4915.8</v>
      </c>
      <c r="F496" s="765">
        <v>0</v>
      </c>
      <c r="G496" s="765">
        <v>0</v>
      </c>
      <c r="H496" s="765">
        <v>0</v>
      </c>
      <c r="I496" s="765">
        <v>0</v>
      </c>
      <c r="J496" s="765">
        <v>0</v>
      </c>
      <c r="K496" s="765">
        <v>567.08399999999995</v>
      </c>
      <c r="L496" s="765">
        <v>0</v>
      </c>
      <c r="M496" s="765">
        <v>0</v>
      </c>
      <c r="N496" s="765">
        <v>4064.6291889999998</v>
      </c>
      <c r="O496" s="765">
        <v>284.08681100000075</v>
      </c>
      <c r="P496" s="765">
        <v>6.4000000000000001E-2</v>
      </c>
      <c r="Q496" s="765">
        <v>284.02281099999999</v>
      </c>
    </row>
    <row r="497" spans="1:17" s="529" customFormat="1" ht="31.5">
      <c r="A497" s="794"/>
      <c r="B497" s="778" t="s">
        <v>1754</v>
      </c>
      <c r="C497" s="919"/>
      <c r="D497" s="925">
        <v>3021.8160000000003</v>
      </c>
      <c r="E497" s="921">
        <v>3588.9</v>
      </c>
      <c r="F497" s="921"/>
      <c r="G497" s="921"/>
      <c r="H497" s="921"/>
      <c r="I497" s="921"/>
      <c r="J497" s="921"/>
      <c r="K497" s="921">
        <v>567.08399999999995</v>
      </c>
      <c r="L497" s="921"/>
      <c r="M497" s="921"/>
      <c r="N497" s="921">
        <v>2745.4181889999995</v>
      </c>
      <c r="O497" s="919">
        <v>276.39781100000073</v>
      </c>
      <c r="P497" s="921">
        <v>6.4000000000000001E-2</v>
      </c>
      <c r="Q497" s="921">
        <v>276.33381099999997</v>
      </c>
    </row>
    <row r="498" spans="1:17" s="529" customFormat="1">
      <c r="A498" s="794"/>
      <c r="B498" s="779" t="s">
        <v>461</v>
      </c>
      <c r="C498" s="919"/>
      <c r="D498" s="925">
        <v>0</v>
      </c>
      <c r="E498" s="921"/>
      <c r="F498" s="921"/>
      <c r="G498" s="921"/>
      <c r="H498" s="921"/>
      <c r="I498" s="921"/>
      <c r="J498" s="921"/>
      <c r="K498" s="921"/>
      <c r="L498" s="921"/>
      <c r="M498" s="921"/>
      <c r="N498" s="921"/>
      <c r="O498" s="919">
        <v>0</v>
      </c>
      <c r="P498" s="921"/>
      <c r="Q498" s="921">
        <v>0</v>
      </c>
    </row>
    <row r="499" spans="1:17" s="529" customFormat="1">
      <c r="A499" s="794"/>
      <c r="B499" s="779" t="s">
        <v>343</v>
      </c>
      <c r="C499" s="919"/>
      <c r="D499" s="925">
        <v>1053.9000000000001</v>
      </c>
      <c r="E499" s="921">
        <v>1053.9000000000001</v>
      </c>
      <c r="F499" s="921"/>
      <c r="G499" s="921"/>
      <c r="H499" s="921"/>
      <c r="I499" s="921"/>
      <c r="J499" s="921"/>
      <c r="K499" s="921"/>
      <c r="L499" s="921"/>
      <c r="M499" s="921"/>
      <c r="N499" s="921">
        <v>1053.9000000000001</v>
      </c>
      <c r="O499" s="919">
        <v>0</v>
      </c>
      <c r="P499" s="921"/>
      <c r="Q499" s="921">
        <v>0</v>
      </c>
    </row>
    <row r="500" spans="1:17" s="529" customFormat="1">
      <c r="A500" s="794"/>
      <c r="B500" s="779" t="s">
        <v>1242</v>
      </c>
      <c r="C500" s="919"/>
      <c r="D500" s="925">
        <v>0</v>
      </c>
      <c r="E500" s="921"/>
      <c r="F500" s="921"/>
      <c r="G500" s="921"/>
      <c r="H500" s="921"/>
      <c r="I500" s="921"/>
      <c r="J500" s="921"/>
      <c r="K500" s="921"/>
      <c r="L500" s="921"/>
      <c r="M500" s="921"/>
      <c r="N500" s="921"/>
      <c r="O500" s="919">
        <v>0</v>
      </c>
      <c r="P500" s="921"/>
      <c r="Q500" s="921">
        <v>0</v>
      </c>
    </row>
    <row r="501" spans="1:17" s="529" customFormat="1">
      <c r="A501" s="794"/>
      <c r="B501" s="779" t="s">
        <v>1934</v>
      </c>
      <c r="C501" s="919"/>
      <c r="D501" s="925">
        <v>0</v>
      </c>
      <c r="E501" s="921"/>
      <c r="F501" s="921"/>
      <c r="G501" s="921"/>
      <c r="H501" s="921"/>
      <c r="I501" s="921"/>
      <c r="J501" s="921"/>
      <c r="K501" s="921"/>
      <c r="L501" s="921"/>
      <c r="M501" s="921"/>
      <c r="N501" s="921"/>
      <c r="O501" s="919">
        <v>0</v>
      </c>
      <c r="P501" s="921"/>
      <c r="Q501" s="921">
        <v>0</v>
      </c>
    </row>
    <row r="502" spans="1:17" s="529" customFormat="1">
      <c r="A502" s="794"/>
      <c r="B502" s="779" t="s">
        <v>1844</v>
      </c>
      <c r="C502" s="919"/>
      <c r="D502" s="925">
        <v>273</v>
      </c>
      <c r="E502" s="921">
        <v>273</v>
      </c>
      <c r="F502" s="921"/>
      <c r="G502" s="921"/>
      <c r="H502" s="921"/>
      <c r="I502" s="921"/>
      <c r="J502" s="921"/>
      <c r="K502" s="921"/>
      <c r="L502" s="921"/>
      <c r="M502" s="921"/>
      <c r="N502" s="921">
        <v>265.31099999999998</v>
      </c>
      <c r="O502" s="919">
        <v>7.6890000000000214</v>
      </c>
      <c r="P502" s="921"/>
      <c r="Q502" s="921">
        <v>7.6890000000000001</v>
      </c>
    </row>
    <row r="503" spans="1:17" hidden="1">
      <c r="A503" s="197">
        <v>2</v>
      </c>
      <c r="B503" s="785" t="s">
        <v>1843</v>
      </c>
      <c r="C503" s="765">
        <v>0</v>
      </c>
      <c r="D503" s="830">
        <v>0</v>
      </c>
      <c r="E503" s="916"/>
      <c r="F503" s="916"/>
      <c r="G503" s="916"/>
      <c r="H503" s="916"/>
      <c r="I503" s="916"/>
      <c r="J503" s="916"/>
      <c r="K503" s="916"/>
      <c r="L503" s="916"/>
      <c r="M503" s="916"/>
      <c r="N503" s="916">
        <v>0</v>
      </c>
      <c r="O503" s="916">
        <v>0</v>
      </c>
      <c r="P503" s="916">
        <v>0</v>
      </c>
      <c r="Q503" s="916">
        <v>0</v>
      </c>
    </row>
    <row r="504" spans="1:17" s="529" customFormat="1" hidden="1">
      <c r="A504" s="794"/>
      <c r="B504" s="779" t="s">
        <v>1515</v>
      </c>
      <c r="C504" s="919"/>
      <c r="D504" s="830">
        <v>0</v>
      </c>
      <c r="E504" s="921"/>
      <c r="F504" s="921"/>
      <c r="G504" s="921"/>
      <c r="H504" s="921"/>
      <c r="I504" s="921"/>
      <c r="J504" s="921"/>
      <c r="K504" s="921"/>
      <c r="L504" s="921"/>
      <c r="M504" s="921"/>
      <c r="N504" s="921"/>
      <c r="O504" s="919">
        <v>0</v>
      </c>
      <c r="P504" s="921"/>
      <c r="Q504" s="921"/>
    </row>
    <row r="505" spans="1:17" s="529" customFormat="1" hidden="1">
      <c r="A505" s="794"/>
      <c r="B505" s="779" t="s">
        <v>1727</v>
      </c>
      <c r="C505" s="919"/>
      <c r="D505" s="830">
        <v>0</v>
      </c>
      <c r="E505" s="921"/>
      <c r="F505" s="921"/>
      <c r="G505" s="921"/>
      <c r="H505" s="921"/>
      <c r="I505" s="921"/>
      <c r="J505" s="921"/>
      <c r="K505" s="921"/>
      <c r="L505" s="921"/>
      <c r="M505" s="921"/>
      <c r="N505" s="921"/>
      <c r="O505" s="919">
        <v>0</v>
      </c>
      <c r="P505" s="921"/>
      <c r="Q505" s="921">
        <v>0</v>
      </c>
    </row>
    <row r="506" spans="1:17" s="529" customFormat="1" hidden="1">
      <c r="A506" s="794"/>
      <c r="B506" s="779" t="s">
        <v>1844</v>
      </c>
      <c r="C506" s="919"/>
      <c r="D506" s="830">
        <v>0</v>
      </c>
      <c r="E506" s="921"/>
      <c r="F506" s="921"/>
      <c r="G506" s="921"/>
      <c r="H506" s="921"/>
      <c r="I506" s="921"/>
      <c r="J506" s="921"/>
      <c r="K506" s="921"/>
      <c r="L506" s="921"/>
      <c r="M506" s="921"/>
      <c r="N506" s="921"/>
      <c r="O506" s="919">
        <v>0</v>
      </c>
      <c r="P506" s="921"/>
      <c r="Q506" s="921"/>
    </row>
    <row r="507" spans="1:17" s="529" customFormat="1" hidden="1">
      <c r="A507" s="794"/>
      <c r="B507" s="779" t="s">
        <v>1845</v>
      </c>
      <c r="C507" s="919"/>
      <c r="D507" s="830">
        <v>0</v>
      </c>
      <c r="E507" s="921"/>
      <c r="F507" s="921"/>
      <c r="G507" s="921"/>
      <c r="H507" s="921"/>
      <c r="I507" s="921"/>
      <c r="J507" s="921"/>
      <c r="K507" s="921"/>
      <c r="L507" s="921"/>
      <c r="M507" s="921"/>
      <c r="N507" s="921"/>
      <c r="O507" s="919">
        <v>0</v>
      </c>
      <c r="P507" s="921"/>
      <c r="Q507" s="921">
        <v>0</v>
      </c>
    </row>
    <row r="508" spans="1:17" hidden="1">
      <c r="A508" s="197"/>
      <c r="B508" s="785" t="s">
        <v>1755</v>
      </c>
      <c r="C508" s="765"/>
      <c r="D508" s="830">
        <v>0</v>
      </c>
      <c r="E508" s="917"/>
      <c r="F508" s="917"/>
      <c r="G508" s="917"/>
      <c r="H508" s="917"/>
      <c r="I508" s="917"/>
      <c r="J508" s="917"/>
      <c r="K508" s="917"/>
      <c r="L508" s="917"/>
      <c r="M508" s="917"/>
      <c r="N508" s="917"/>
      <c r="O508" s="765">
        <v>0</v>
      </c>
      <c r="P508" s="917"/>
      <c r="Q508" s="917"/>
    </row>
    <row r="509" spans="1:17">
      <c r="A509" s="186" t="s">
        <v>1846</v>
      </c>
      <c r="B509" s="776" t="s">
        <v>1690</v>
      </c>
      <c r="C509" s="915">
        <v>113.831</v>
      </c>
      <c r="D509" s="915">
        <v>873.94499999999994</v>
      </c>
      <c r="E509" s="915">
        <v>0</v>
      </c>
      <c r="F509" s="915">
        <v>873.94499999999994</v>
      </c>
      <c r="G509" s="915">
        <v>0</v>
      </c>
      <c r="H509" s="915">
        <v>0</v>
      </c>
      <c r="I509" s="915">
        <v>0</v>
      </c>
      <c r="J509" s="915">
        <v>0</v>
      </c>
      <c r="K509" s="915">
        <v>0</v>
      </c>
      <c r="L509" s="915">
        <v>0</v>
      </c>
      <c r="M509" s="915">
        <v>0</v>
      </c>
      <c r="N509" s="915">
        <v>256.24</v>
      </c>
      <c r="O509" s="915">
        <v>731.53599999999994</v>
      </c>
      <c r="P509" s="915">
        <v>475</v>
      </c>
      <c r="Q509" s="915">
        <v>256.536</v>
      </c>
    </row>
    <row r="510" spans="1:17">
      <c r="A510" s="197"/>
      <c r="B510" s="785" t="s">
        <v>545</v>
      </c>
      <c r="C510" s="917"/>
      <c r="D510" s="830">
        <v>0</v>
      </c>
      <c r="E510" s="830"/>
      <c r="F510" s="830"/>
      <c r="G510" s="830"/>
      <c r="H510" s="830"/>
      <c r="I510" s="830"/>
      <c r="J510" s="830"/>
      <c r="K510" s="830"/>
      <c r="L510" s="830"/>
      <c r="M510" s="830"/>
      <c r="N510" s="830"/>
      <c r="O510" s="765">
        <v>0</v>
      </c>
      <c r="P510" s="830"/>
      <c r="Q510" s="830"/>
    </row>
    <row r="511" spans="1:17">
      <c r="A511" s="197"/>
      <c r="B511" s="785" t="s">
        <v>1512</v>
      </c>
      <c r="C511" s="765">
        <v>113.831</v>
      </c>
      <c r="D511" s="830">
        <v>873.94499999999994</v>
      </c>
      <c r="E511" s="916"/>
      <c r="F511" s="916">
        <v>873.94499999999994</v>
      </c>
      <c r="G511" s="917"/>
      <c r="H511" s="917"/>
      <c r="I511" s="917"/>
      <c r="J511" s="917"/>
      <c r="K511" s="917"/>
      <c r="L511" s="917"/>
      <c r="M511" s="917"/>
      <c r="N511" s="917">
        <v>256.24</v>
      </c>
      <c r="O511" s="765">
        <v>731.53599999999994</v>
      </c>
      <c r="P511" s="917">
        <v>475</v>
      </c>
      <c r="Q511" s="917">
        <v>256.536</v>
      </c>
    </row>
    <row r="512" spans="1:17">
      <c r="A512" s="197"/>
      <c r="B512" s="785" t="s">
        <v>1847</v>
      </c>
      <c r="C512" s="917"/>
      <c r="D512" s="830">
        <v>0</v>
      </c>
      <c r="E512" s="916"/>
      <c r="F512" s="916"/>
      <c r="G512" s="917"/>
      <c r="H512" s="917"/>
      <c r="I512" s="917"/>
      <c r="J512" s="917"/>
      <c r="K512" s="917"/>
      <c r="L512" s="917"/>
      <c r="M512" s="917"/>
      <c r="N512" s="917"/>
      <c r="O512" s="765">
        <v>0</v>
      </c>
      <c r="P512" s="917"/>
      <c r="Q512" s="917"/>
    </row>
    <row r="513" spans="1:17">
      <c r="A513" s="197"/>
      <c r="B513" s="785" t="s">
        <v>1698</v>
      </c>
      <c r="C513" s="765"/>
      <c r="D513" s="830">
        <v>0</v>
      </c>
      <c r="E513" s="916"/>
      <c r="F513" s="916"/>
      <c r="G513" s="917"/>
      <c r="H513" s="917"/>
      <c r="I513" s="917"/>
      <c r="J513" s="917"/>
      <c r="K513" s="917"/>
      <c r="L513" s="917"/>
      <c r="M513" s="917"/>
      <c r="N513" s="917"/>
      <c r="O513" s="765">
        <v>0</v>
      </c>
      <c r="P513" s="917"/>
      <c r="Q513" s="917"/>
    </row>
    <row r="514" spans="1:17" ht="31.5">
      <c r="A514" s="197"/>
      <c r="B514" s="202" t="s">
        <v>1754</v>
      </c>
      <c r="C514" s="765"/>
      <c r="D514" s="830">
        <v>0</v>
      </c>
      <c r="E514" s="916"/>
      <c r="F514" s="916"/>
      <c r="G514" s="830"/>
      <c r="H514" s="830"/>
      <c r="I514" s="830"/>
      <c r="J514" s="830"/>
      <c r="K514" s="830"/>
      <c r="L514" s="926"/>
      <c r="M514" s="830"/>
      <c r="N514" s="830"/>
      <c r="O514" s="765">
        <v>0</v>
      </c>
      <c r="P514" s="830"/>
      <c r="Q514" s="830"/>
    </row>
    <row r="515" spans="1:17">
      <c r="A515" s="197"/>
      <c r="B515" s="785" t="s">
        <v>1848</v>
      </c>
      <c r="C515" s="765"/>
      <c r="D515" s="830">
        <v>0</v>
      </c>
      <c r="E515" s="916"/>
      <c r="F515" s="916"/>
      <c r="G515" s="917"/>
      <c r="H515" s="917"/>
      <c r="I515" s="917"/>
      <c r="J515" s="917"/>
      <c r="K515" s="917"/>
      <c r="L515" s="917"/>
      <c r="M515" s="917"/>
      <c r="N515" s="917"/>
      <c r="O515" s="765">
        <v>0</v>
      </c>
      <c r="P515" s="917"/>
      <c r="Q515" s="917"/>
    </row>
    <row r="516" spans="1:17">
      <c r="A516" s="197"/>
      <c r="B516" s="770" t="s">
        <v>1688</v>
      </c>
      <c r="C516" s="765"/>
      <c r="D516" s="830">
        <v>0</v>
      </c>
      <c r="E516" s="916"/>
      <c r="F516" s="916"/>
      <c r="G516" s="917"/>
      <c r="H516" s="917"/>
      <c r="I516" s="917"/>
      <c r="J516" s="917"/>
      <c r="K516" s="917"/>
      <c r="L516" s="917"/>
      <c r="M516" s="917"/>
      <c r="N516" s="917"/>
      <c r="O516" s="765">
        <v>0</v>
      </c>
      <c r="P516" s="917"/>
      <c r="Q516" s="917"/>
    </row>
    <row r="517" spans="1:17">
      <c r="A517" s="197"/>
      <c r="B517" s="785" t="s">
        <v>1676</v>
      </c>
      <c r="C517" s="765"/>
      <c r="D517" s="830">
        <v>0</v>
      </c>
      <c r="E517" s="916"/>
      <c r="F517" s="916"/>
      <c r="G517" s="917"/>
      <c r="H517" s="917"/>
      <c r="I517" s="917"/>
      <c r="J517" s="917"/>
      <c r="K517" s="917"/>
      <c r="L517" s="917"/>
      <c r="M517" s="917"/>
      <c r="N517" s="917"/>
      <c r="O517" s="765">
        <v>0</v>
      </c>
      <c r="P517" s="917"/>
      <c r="Q517" s="917"/>
    </row>
    <row r="518" spans="1:17">
      <c r="A518" s="197"/>
      <c r="B518" s="785" t="s">
        <v>394</v>
      </c>
      <c r="C518" s="765"/>
      <c r="D518" s="830">
        <v>0</v>
      </c>
      <c r="E518" s="916"/>
      <c r="F518" s="916"/>
      <c r="G518" s="917"/>
      <c r="H518" s="917"/>
      <c r="I518" s="917"/>
      <c r="J518" s="917"/>
      <c r="K518" s="917"/>
      <c r="L518" s="917"/>
      <c r="M518" s="917"/>
      <c r="N518" s="917"/>
      <c r="O518" s="765">
        <v>0</v>
      </c>
      <c r="P518" s="917"/>
      <c r="Q518" s="917"/>
    </row>
    <row r="519" spans="1:17">
      <c r="A519" s="186" t="s">
        <v>1849</v>
      </c>
      <c r="B519" s="776" t="s">
        <v>2445</v>
      </c>
      <c r="C519" s="768">
        <v>0</v>
      </c>
      <c r="D519" s="768">
        <v>172</v>
      </c>
      <c r="E519" s="768">
        <v>172</v>
      </c>
      <c r="F519" s="768">
        <v>0</v>
      </c>
      <c r="G519" s="768">
        <v>0</v>
      </c>
      <c r="H519" s="768">
        <v>0</v>
      </c>
      <c r="I519" s="768">
        <v>0</v>
      </c>
      <c r="J519" s="768">
        <v>0</v>
      </c>
      <c r="K519" s="768">
        <v>0</v>
      </c>
      <c r="L519" s="768">
        <v>0</v>
      </c>
      <c r="M519" s="768">
        <v>0</v>
      </c>
      <c r="N519" s="768">
        <v>172</v>
      </c>
      <c r="O519" s="768">
        <v>0</v>
      </c>
      <c r="P519" s="768">
        <v>0</v>
      </c>
      <c r="Q519" s="768">
        <v>0</v>
      </c>
    </row>
    <row r="520" spans="1:17">
      <c r="A520" s="197"/>
      <c r="B520" s="785" t="s">
        <v>509</v>
      </c>
      <c r="C520" s="765"/>
      <c r="D520" s="916">
        <v>172</v>
      </c>
      <c r="E520" s="916">
        <v>172</v>
      </c>
      <c r="F520" s="916"/>
      <c r="G520" s="917"/>
      <c r="H520" s="917"/>
      <c r="I520" s="917"/>
      <c r="J520" s="917"/>
      <c r="K520" s="917"/>
      <c r="L520" s="917"/>
      <c r="M520" s="917"/>
      <c r="N520" s="917">
        <v>172</v>
      </c>
      <c r="O520" s="765">
        <v>0</v>
      </c>
      <c r="P520" s="917"/>
      <c r="Q520" s="917"/>
    </row>
    <row r="521" spans="1:17">
      <c r="A521" s="186" t="s">
        <v>1850</v>
      </c>
      <c r="B521" s="776" t="s">
        <v>1691</v>
      </c>
      <c r="C521" s="768"/>
      <c r="D521" s="915">
        <v>0</v>
      </c>
      <c r="E521" s="915"/>
      <c r="F521" s="915"/>
      <c r="G521" s="922"/>
      <c r="H521" s="922"/>
      <c r="I521" s="922"/>
      <c r="J521" s="922"/>
      <c r="K521" s="922"/>
      <c r="L521" s="922"/>
      <c r="M521" s="922"/>
      <c r="N521" s="922"/>
      <c r="O521" s="768">
        <v>0</v>
      </c>
      <c r="P521" s="922"/>
      <c r="Q521" s="922"/>
    </row>
    <row r="522" spans="1:17" ht="31.5">
      <c r="A522" s="186" t="s">
        <v>1851</v>
      </c>
      <c r="B522" s="535" t="s">
        <v>1756</v>
      </c>
      <c r="C522" s="768">
        <v>0</v>
      </c>
      <c r="D522" s="915">
        <v>492.93399999999997</v>
      </c>
      <c r="E522" s="915">
        <v>740</v>
      </c>
      <c r="F522" s="915"/>
      <c r="G522" s="915">
        <v>0</v>
      </c>
      <c r="H522" s="915"/>
      <c r="I522" s="915"/>
      <c r="J522" s="915"/>
      <c r="K522" s="915"/>
      <c r="L522" s="915">
        <v>0</v>
      </c>
      <c r="M522" s="915"/>
      <c r="N522" s="915">
        <v>492.93346400000001</v>
      </c>
      <c r="O522" s="915">
        <v>5.3599999995412873E-4</v>
      </c>
      <c r="P522" s="915">
        <v>0</v>
      </c>
      <c r="Q522" s="915">
        <v>5.3599999995412873E-4</v>
      </c>
    </row>
    <row r="523" spans="1:17">
      <c r="A523" s="197">
        <v>1</v>
      </c>
      <c r="B523" s="202" t="s">
        <v>1757</v>
      </c>
      <c r="C523" s="765"/>
      <c r="D523" s="916">
        <v>492.93399999999997</v>
      </c>
      <c r="E523" s="916">
        <v>740</v>
      </c>
      <c r="F523" s="916"/>
      <c r="G523" s="917"/>
      <c r="H523" s="917"/>
      <c r="I523" s="917"/>
      <c r="J523" s="917"/>
      <c r="K523" s="917">
        <v>247.066</v>
      </c>
      <c r="L523" s="917"/>
      <c r="M523" s="917"/>
      <c r="N523" s="917">
        <v>492.93346400000001</v>
      </c>
      <c r="O523" s="765">
        <v>5.3599999995412873E-4</v>
      </c>
      <c r="P523" s="917"/>
      <c r="Q523" s="917">
        <v>5.3599999995412873E-4</v>
      </c>
    </row>
    <row r="524" spans="1:17" ht="47.25">
      <c r="A524" s="186" t="s">
        <v>1852</v>
      </c>
      <c r="B524" s="535" t="s">
        <v>1758</v>
      </c>
      <c r="C524" s="768">
        <v>0</v>
      </c>
      <c r="D524" s="768">
        <v>1963.9</v>
      </c>
      <c r="E524" s="768">
        <v>1600</v>
      </c>
      <c r="F524" s="768">
        <v>363.9</v>
      </c>
      <c r="G524" s="768">
        <v>0</v>
      </c>
      <c r="H524" s="768">
        <v>0</v>
      </c>
      <c r="I524" s="768">
        <v>0</v>
      </c>
      <c r="J524" s="768">
        <v>0</v>
      </c>
      <c r="K524" s="768">
        <v>0</v>
      </c>
      <c r="L524" s="768">
        <v>0</v>
      </c>
      <c r="M524" s="768">
        <v>0</v>
      </c>
      <c r="N524" s="768">
        <v>1948.7939999999999</v>
      </c>
      <c r="O524" s="768">
        <v>15.105999999999995</v>
      </c>
      <c r="P524" s="768">
        <v>15</v>
      </c>
      <c r="Q524" s="768">
        <v>0.10599999999999454</v>
      </c>
    </row>
    <row r="525" spans="1:17" ht="36.75" customHeight="1">
      <c r="A525" s="197">
        <v>1</v>
      </c>
      <c r="B525" s="202" t="s">
        <v>1759</v>
      </c>
      <c r="C525" s="765">
        <v>0</v>
      </c>
      <c r="D525" s="916">
        <v>363.9</v>
      </c>
      <c r="E525" s="916">
        <v>0</v>
      </c>
      <c r="F525" s="916">
        <v>363.9</v>
      </c>
      <c r="G525" s="916">
        <v>0</v>
      </c>
      <c r="H525" s="916">
        <v>0</v>
      </c>
      <c r="I525" s="916">
        <v>0</v>
      </c>
      <c r="J525" s="916">
        <v>0</v>
      </c>
      <c r="K525" s="916">
        <v>0</v>
      </c>
      <c r="L525" s="916">
        <v>0</v>
      </c>
      <c r="M525" s="916">
        <v>0</v>
      </c>
      <c r="N525" s="916">
        <v>363.79399999999998</v>
      </c>
      <c r="O525" s="916">
        <v>0.10599999999999454</v>
      </c>
      <c r="P525" s="916">
        <v>0</v>
      </c>
      <c r="Q525" s="916">
        <v>0.10599999999999454</v>
      </c>
    </row>
    <row r="526" spans="1:17" s="529" customFormat="1">
      <c r="A526" s="794"/>
      <c r="B526" s="779" t="s">
        <v>1760</v>
      </c>
      <c r="C526" s="919"/>
      <c r="D526" s="920">
        <v>363.9</v>
      </c>
      <c r="E526" s="920"/>
      <c r="F526" s="920">
        <v>363.9</v>
      </c>
      <c r="G526" s="921"/>
      <c r="H526" s="921"/>
      <c r="I526" s="921"/>
      <c r="J526" s="921"/>
      <c r="K526" s="921"/>
      <c r="L526" s="921"/>
      <c r="M526" s="921"/>
      <c r="N526" s="921">
        <v>363.79399999999998</v>
      </c>
      <c r="O526" s="765">
        <v>0.10599999999999454</v>
      </c>
      <c r="P526" s="921"/>
      <c r="Q526" s="921">
        <v>0.10599999999999454</v>
      </c>
    </row>
    <row r="527" spans="1:17" s="529" customFormat="1">
      <c r="A527" s="794"/>
      <c r="B527" s="779" t="s">
        <v>1761</v>
      </c>
      <c r="C527" s="919"/>
      <c r="D527" s="920">
        <v>0</v>
      </c>
      <c r="E527" s="920"/>
      <c r="F527" s="920"/>
      <c r="G527" s="921"/>
      <c r="H527" s="921"/>
      <c r="I527" s="921"/>
      <c r="J527" s="921"/>
      <c r="K527" s="921"/>
      <c r="L527" s="921"/>
      <c r="M527" s="921"/>
      <c r="N527" s="921"/>
      <c r="O527" s="919">
        <v>0</v>
      </c>
      <c r="P527" s="921"/>
      <c r="Q527" s="921"/>
    </row>
    <row r="528" spans="1:17" s="529" customFormat="1">
      <c r="A528" s="794">
        <v>2</v>
      </c>
      <c r="B528" s="779" t="s">
        <v>1853</v>
      </c>
      <c r="C528" s="919"/>
      <c r="D528" s="920">
        <v>0</v>
      </c>
      <c r="E528" s="920"/>
      <c r="F528" s="920"/>
      <c r="G528" s="921"/>
      <c r="H528" s="921"/>
      <c r="I528" s="921"/>
      <c r="J528" s="921"/>
      <c r="K528" s="921"/>
      <c r="L528" s="921"/>
      <c r="M528" s="921"/>
      <c r="N528" s="921"/>
      <c r="O528" s="765">
        <v>0</v>
      </c>
      <c r="P528" s="921"/>
      <c r="Q528" s="921"/>
    </row>
    <row r="529" spans="1:17" s="529" customFormat="1" ht="47.25">
      <c r="A529" s="197">
        <v>3</v>
      </c>
      <c r="B529" s="202" t="s">
        <v>2446</v>
      </c>
      <c r="C529" s="919"/>
      <c r="D529" s="916">
        <v>1600</v>
      </c>
      <c r="E529" s="916">
        <v>1600</v>
      </c>
      <c r="F529" s="916">
        <v>0</v>
      </c>
      <c r="G529" s="916">
        <v>0</v>
      </c>
      <c r="H529" s="916">
        <v>0</v>
      </c>
      <c r="I529" s="916">
        <v>0</v>
      </c>
      <c r="J529" s="916">
        <v>0</v>
      </c>
      <c r="K529" s="916">
        <v>0</v>
      </c>
      <c r="L529" s="916">
        <v>0</v>
      </c>
      <c r="M529" s="916">
        <v>0</v>
      </c>
      <c r="N529" s="916">
        <v>1585</v>
      </c>
      <c r="O529" s="916">
        <v>15</v>
      </c>
      <c r="P529" s="916">
        <v>15</v>
      </c>
      <c r="Q529" s="916">
        <v>0</v>
      </c>
    </row>
    <row r="530" spans="1:17" s="529" customFormat="1">
      <c r="A530" s="794"/>
      <c r="B530" s="785" t="s">
        <v>2447</v>
      </c>
      <c r="C530" s="919"/>
      <c r="D530" s="920">
        <v>1600</v>
      </c>
      <c r="E530" s="920">
        <v>1600</v>
      </c>
      <c r="F530" s="920"/>
      <c r="G530" s="921"/>
      <c r="H530" s="921"/>
      <c r="I530" s="921"/>
      <c r="J530" s="921"/>
      <c r="K530" s="921"/>
      <c r="L530" s="921"/>
      <c r="M530" s="921"/>
      <c r="N530" s="917">
        <v>1585</v>
      </c>
      <c r="O530" s="765">
        <v>15</v>
      </c>
      <c r="P530" s="917">
        <v>15</v>
      </c>
      <c r="Q530" s="921"/>
    </row>
    <row r="531" spans="1:17" ht="30" hidden="1" customHeight="1">
      <c r="A531" s="186" t="s">
        <v>1854</v>
      </c>
      <c r="B531" s="776" t="s">
        <v>1762</v>
      </c>
      <c r="C531" s="765"/>
      <c r="D531" s="916">
        <v>0</v>
      </c>
      <c r="E531" s="916"/>
      <c r="F531" s="916"/>
      <c r="G531" s="917"/>
      <c r="H531" s="917"/>
      <c r="I531" s="917"/>
      <c r="J531" s="917"/>
      <c r="K531" s="917"/>
      <c r="L531" s="917"/>
      <c r="M531" s="917"/>
      <c r="N531" s="917"/>
      <c r="O531" s="765">
        <v>0</v>
      </c>
      <c r="P531" s="917"/>
      <c r="Q531" s="917"/>
    </row>
    <row r="532" spans="1:17" ht="47.25">
      <c r="A532" s="186" t="s">
        <v>1855</v>
      </c>
      <c r="B532" s="535" t="s">
        <v>1763</v>
      </c>
      <c r="C532" s="768">
        <v>0</v>
      </c>
      <c r="D532" s="915">
        <v>833.27499999999998</v>
      </c>
      <c r="E532" s="768">
        <v>0</v>
      </c>
      <c r="F532" s="768">
        <v>833.27499999999998</v>
      </c>
      <c r="G532" s="768">
        <v>0</v>
      </c>
      <c r="H532" s="768">
        <v>0</v>
      </c>
      <c r="I532" s="768"/>
      <c r="J532" s="768">
        <v>0</v>
      </c>
      <c r="K532" s="768"/>
      <c r="L532" s="768">
        <v>0</v>
      </c>
      <c r="M532" s="768"/>
      <c r="N532" s="768">
        <v>544</v>
      </c>
      <c r="O532" s="768">
        <v>289.27499999999998</v>
      </c>
      <c r="P532" s="768">
        <v>0</v>
      </c>
      <c r="Q532" s="768">
        <v>289.27499999999998</v>
      </c>
    </row>
    <row r="533" spans="1:17">
      <c r="A533" s="769">
        <v>1</v>
      </c>
      <c r="B533" s="785" t="s">
        <v>1764</v>
      </c>
      <c r="C533" s="830"/>
      <c r="D533" s="916">
        <v>0</v>
      </c>
      <c r="E533" s="830"/>
      <c r="F533" s="830"/>
      <c r="G533" s="830"/>
      <c r="H533" s="830"/>
      <c r="I533" s="830"/>
      <c r="J533" s="830"/>
      <c r="K533" s="830"/>
      <c r="L533" s="830"/>
      <c r="M533" s="830"/>
      <c r="N533" s="830"/>
      <c r="O533" s="765">
        <v>0</v>
      </c>
      <c r="P533" s="830"/>
      <c r="Q533" s="830"/>
    </row>
    <row r="534" spans="1:17">
      <c r="A534" s="197">
        <v>2</v>
      </c>
      <c r="B534" s="785" t="s">
        <v>1720</v>
      </c>
      <c r="C534" s="765"/>
      <c r="D534" s="916">
        <v>0</v>
      </c>
      <c r="E534" s="916"/>
      <c r="F534" s="916"/>
      <c r="G534" s="917"/>
      <c r="H534" s="917"/>
      <c r="I534" s="917"/>
      <c r="J534" s="917"/>
      <c r="K534" s="917"/>
      <c r="L534" s="917"/>
      <c r="M534" s="917"/>
      <c r="N534" s="917"/>
      <c r="O534" s="765">
        <v>0</v>
      </c>
      <c r="P534" s="917"/>
      <c r="Q534" s="917"/>
    </row>
    <row r="535" spans="1:17">
      <c r="A535" s="197">
        <v>3</v>
      </c>
      <c r="B535" s="785" t="s">
        <v>1765</v>
      </c>
      <c r="C535" s="830"/>
      <c r="D535" s="916">
        <v>334</v>
      </c>
      <c r="E535" s="830"/>
      <c r="F535" s="830">
        <v>334</v>
      </c>
      <c r="G535" s="830"/>
      <c r="H535" s="830"/>
      <c r="I535" s="830"/>
      <c r="J535" s="830"/>
      <c r="K535" s="830"/>
      <c r="L535" s="926"/>
      <c r="M535" s="926"/>
      <c r="N535" s="830">
        <v>334</v>
      </c>
      <c r="O535" s="765">
        <v>0</v>
      </c>
      <c r="P535" s="830"/>
      <c r="Q535" s="830"/>
    </row>
    <row r="536" spans="1:17">
      <c r="A536" s="197">
        <v>4</v>
      </c>
      <c r="B536" s="785" t="s">
        <v>2270</v>
      </c>
      <c r="C536" s="830"/>
      <c r="D536" s="916">
        <v>210</v>
      </c>
      <c r="E536" s="830"/>
      <c r="F536" s="830">
        <v>210</v>
      </c>
      <c r="G536" s="830"/>
      <c r="H536" s="830"/>
      <c r="I536" s="830"/>
      <c r="J536" s="830"/>
      <c r="K536" s="830"/>
      <c r="L536" s="926"/>
      <c r="M536" s="926"/>
      <c r="N536" s="830">
        <v>210</v>
      </c>
      <c r="O536" s="765">
        <v>0</v>
      </c>
      <c r="P536" s="830"/>
      <c r="Q536" s="830"/>
    </row>
    <row r="537" spans="1:17">
      <c r="A537" s="197">
        <v>5</v>
      </c>
      <c r="B537" s="785" t="s">
        <v>477</v>
      </c>
      <c r="C537" s="830"/>
      <c r="D537" s="916">
        <v>289.27499999999998</v>
      </c>
      <c r="E537" s="830"/>
      <c r="F537" s="830">
        <v>289.27499999999998</v>
      </c>
      <c r="G537" s="830"/>
      <c r="H537" s="830"/>
      <c r="I537" s="830"/>
      <c r="J537" s="830"/>
      <c r="K537" s="830"/>
      <c r="L537" s="926"/>
      <c r="M537" s="926"/>
      <c r="N537" s="830"/>
      <c r="O537" s="765">
        <v>289.27499999999998</v>
      </c>
      <c r="P537" s="830"/>
      <c r="Q537" s="830">
        <v>289.27499999999998</v>
      </c>
    </row>
    <row r="538" spans="1:17" ht="31.5">
      <c r="A538" s="186" t="s">
        <v>1856</v>
      </c>
      <c r="B538" s="535" t="s">
        <v>1692</v>
      </c>
      <c r="C538" s="765"/>
      <c r="D538" s="915">
        <v>0</v>
      </c>
      <c r="E538" s="916"/>
      <c r="F538" s="916"/>
      <c r="G538" s="917"/>
      <c r="H538" s="917"/>
      <c r="I538" s="917"/>
      <c r="J538" s="917"/>
      <c r="K538" s="917"/>
      <c r="L538" s="917"/>
      <c r="M538" s="917"/>
      <c r="N538" s="917"/>
      <c r="O538" s="765">
        <v>0</v>
      </c>
      <c r="P538" s="917"/>
      <c r="Q538" s="917"/>
    </row>
    <row r="539" spans="1:17">
      <c r="A539" s="186" t="s">
        <v>1587</v>
      </c>
      <c r="B539" s="776" t="s">
        <v>1766</v>
      </c>
      <c r="C539" s="915">
        <v>14672.895</v>
      </c>
      <c r="D539" s="915">
        <v>19998</v>
      </c>
      <c r="E539" s="915">
        <v>19555</v>
      </c>
      <c r="F539" s="915">
        <v>0</v>
      </c>
      <c r="G539" s="915">
        <v>0</v>
      </c>
      <c r="H539" s="915">
        <v>443</v>
      </c>
      <c r="I539" s="915">
        <v>0</v>
      </c>
      <c r="J539" s="915">
        <v>0</v>
      </c>
      <c r="K539" s="915">
        <v>0</v>
      </c>
      <c r="L539" s="915">
        <v>0</v>
      </c>
      <c r="M539" s="915">
        <v>0</v>
      </c>
      <c r="N539" s="915">
        <v>34661.661441999997</v>
      </c>
      <c r="O539" s="915">
        <v>9.2335579999992774</v>
      </c>
      <c r="P539" s="915">
        <v>0</v>
      </c>
      <c r="Q539" s="915">
        <v>9.2335579999992774</v>
      </c>
    </row>
    <row r="540" spans="1:17">
      <c r="A540" s="197">
        <v>1</v>
      </c>
      <c r="B540" s="785" t="s">
        <v>1725</v>
      </c>
      <c r="C540" s="916"/>
      <c r="D540" s="916">
        <v>1020.1</v>
      </c>
      <c r="E540" s="830">
        <v>1020.1</v>
      </c>
      <c r="F540" s="916"/>
      <c r="G540" s="916"/>
      <c r="H540" s="916"/>
      <c r="I540" s="916"/>
      <c r="J540" s="916"/>
      <c r="K540" s="916"/>
      <c r="L540" s="916"/>
      <c r="M540" s="916"/>
      <c r="N540" s="830">
        <v>1011.542</v>
      </c>
      <c r="O540" s="765">
        <v>8.5579999999999927</v>
      </c>
      <c r="P540" s="916"/>
      <c r="Q540" s="917">
        <v>8.5579999999999927</v>
      </c>
    </row>
    <row r="541" spans="1:17" ht="33" customHeight="1">
      <c r="A541" s="197">
        <v>2</v>
      </c>
      <c r="B541" s="202" t="s">
        <v>1767</v>
      </c>
      <c r="C541" s="916">
        <v>10972.895</v>
      </c>
      <c r="D541" s="916">
        <v>15313.9</v>
      </c>
      <c r="E541" s="765">
        <v>14870.9</v>
      </c>
      <c r="F541" s="917"/>
      <c r="G541" s="917"/>
      <c r="H541" s="765">
        <v>443</v>
      </c>
      <c r="I541" s="917"/>
      <c r="J541" s="917"/>
      <c r="K541" s="917"/>
      <c r="L541" s="917"/>
      <c r="M541" s="917"/>
      <c r="N541" s="765">
        <v>26286.403441999999</v>
      </c>
      <c r="O541" s="765">
        <v>0.3915579999993497</v>
      </c>
      <c r="P541" s="917"/>
      <c r="Q541" s="917">
        <v>0.3915579999993497</v>
      </c>
    </row>
    <row r="542" spans="1:17" s="803" customFormat="1" ht="33" customHeight="1">
      <c r="A542" s="197">
        <v>3</v>
      </c>
      <c r="B542" s="202" t="s">
        <v>1768</v>
      </c>
      <c r="C542" s="916"/>
      <c r="D542" s="916">
        <v>0</v>
      </c>
      <c r="E542" s="830"/>
      <c r="F542" s="916"/>
      <c r="G542" s="927"/>
      <c r="H542" s="927"/>
      <c r="I542" s="927"/>
      <c r="J542" s="927"/>
      <c r="K542" s="927"/>
      <c r="L542" s="927"/>
      <c r="M542" s="927"/>
      <c r="N542" s="765"/>
      <c r="O542" s="765">
        <v>0</v>
      </c>
      <c r="P542" s="927"/>
      <c r="Q542" s="917">
        <v>0</v>
      </c>
    </row>
    <row r="543" spans="1:17" s="803" customFormat="1" ht="19.5" customHeight="1">
      <c r="A543" s="197">
        <v>4</v>
      </c>
      <c r="B543" s="785" t="s">
        <v>1764</v>
      </c>
      <c r="C543" s="916">
        <v>3700</v>
      </c>
      <c r="D543" s="916">
        <v>2874</v>
      </c>
      <c r="E543" s="830">
        <v>2874</v>
      </c>
      <c r="F543" s="916"/>
      <c r="G543" s="917"/>
      <c r="H543" s="917"/>
      <c r="I543" s="917"/>
      <c r="J543" s="917"/>
      <c r="K543" s="917"/>
      <c r="L543" s="917"/>
      <c r="M543" s="917"/>
      <c r="N543" s="765">
        <v>6573.7280000000001</v>
      </c>
      <c r="O543" s="765">
        <v>0.27199999999993452</v>
      </c>
      <c r="P543" s="917"/>
      <c r="Q543" s="917">
        <v>0.27199999999993452</v>
      </c>
    </row>
    <row r="544" spans="1:17" s="803" customFormat="1" ht="19.5" customHeight="1">
      <c r="A544" s="197">
        <v>5</v>
      </c>
      <c r="B544" s="785" t="s">
        <v>1847</v>
      </c>
      <c r="C544" s="916"/>
      <c r="D544" s="916">
        <v>729</v>
      </c>
      <c r="E544" s="916">
        <v>729</v>
      </c>
      <c r="F544" s="916"/>
      <c r="G544" s="917"/>
      <c r="H544" s="917"/>
      <c r="I544" s="917"/>
      <c r="J544" s="917"/>
      <c r="K544" s="917"/>
      <c r="L544" s="917"/>
      <c r="M544" s="917"/>
      <c r="N544" s="917">
        <v>729</v>
      </c>
      <c r="O544" s="917">
        <v>0</v>
      </c>
      <c r="P544" s="917"/>
      <c r="Q544" s="918"/>
    </row>
    <row r="545" spans="1:17" s="803" customFormat="1">
      <c r="A545" s="197">
        <v>6</v>
      </c>
      <c r="B545" s="202" t="s">
        <v>1935</v>
      </c>
      <c r="C545" s="916"/>
      <c r="D545" s="916">
        <v>61</v>
      </c>
      <c r="E545" s="916">
        <v>61</v>
      </c>
      <c r="F545" s="916">
        <v>0</v>
      </c>
      <c r="G545" s="916">
        <v>0</v>
      </c>
      <c r="H545" s="916">
        <v>0</v>
      </c>
      <c r="I545" s="916">
        <v>0</v>
      </c>
      <c r="J545" s="916">
        <v>0</v>
      </c>
      <c r="K545" s="916">
        <v>0</v>
      </c>
      <c r="L545" s="916">
        <v>0</v>
      </c>
      <c r="M545" s="916">
        <v>0</v>
      </c>
      <c r="N545" s="916">
        <v>60.988</v>
      </c>
      <c r="O545" s="916">
        <v>1.2000000000000455E-2</v>
      </c>
      <c r="P545" s="916">
        <v>0</v>
      </c>
      <c r="Q545" s="916">
        <v>1.2E-2</v>
      </c>
    </row>
    <row r="546" spans="1:17" s="804" customFormat="1">
      <c r="A546" s="794"/>
      <c r="B546" s="778" t="s">
        <v>1721</v>
      </c>
      <c r="C546" s="920"/>
      <c r="D546" s="916">
        <v>0</v>
      </c>
      <c r="E546" s="920"/>
      <c r="F546" s="920"/>
      <c r="G546" s="928"/>
      <c r="H546" s="928"/>
      <c r="I546" s="928"/>
      <c r="J546" s="928"/>
      <c r="K546" s="928"/>
      <c r="L546" s="928"/>
      <c r="M546" s="928"/>
      <c r="N546" s="923"/>
      <c r="O546" s="765">
        <v>0</v>
      </c>
      <c r="P546" s="928"/>
      <c r="Q546" s="923"/>
    </row>
    <row r="547" spans="1:17" s="804" customFormat="1">
      <c r="A547" s="794"/>
      <c r="B547" s="778" t="s">
        <v>1936</v>
      </c>
      <c r="C547" s="920"/>
      <c r="D547" s="916">
        <v>0</v>
      </c>
      <c r="E547" s="920"/>
      <c r="F547" s="920"/>
      <c r="G547" s="928"/>
      <c r="H547" s="928"/>
      <c r="I547" s="928"/>
      <c r="J547" s="928"/>
      <c r="K547" s="928"/>
      <c r="L547" s="928"/>
      <c r="M547" s="928"/>
      <c r="N547" s="923"/>
      <c r="O547" s="765">
        <v>0</v>
      </c>
      <c r="P547" s="928"/>
      <c r="Q547" s="923">
        <v>0</v>
      </c>
    </row>
    <row r="548" spans="1:17" s="804" customFormat="1">
      <c r="A548" s="794"/>
      <c r="B548" s="778" t="s">
        <v>1937</v>
      </c>
      <c r="C548" s="920"/>
      <c r="D548" s="916">
        <v>0</v>
      </c>
      <c r="E548" s="920"/>
      <c r="F548" s="920"/>
      <c r="G548" s="928"/>
      <c r="H548" s="928"/>
      <c r="I548" s="928"/>
      <c r="J548" s="928"/>
      <c r="K548" s="928"/>
      <c r="L548" s="928"/>
      <c r="M548" s="928"/>
      <c r="N548" s="923"/>
      <c r="O548" s="765">
        <v>0</v>
      </c>
      <c r="P548" s="928"/>
      <c r="Q548" s="923">
        <v>0</v>
      </c>
    </row>
    <row r="549" spans="1:17" s="804" customFormat="1">
      <c r="A549" s="794"/>
      <c r="B549" s="778" t="s">
        <v>1845</v>
      </c>
      <c r="C549" s="920"/>
      <c r="D549" s="916">
        <v>61</v>
      </c>
      <c r="E549" s="920">
        <v>61</v>
      </c>
      <c r="F549" s="920"/>
      <c r="G549" s="928"/>
      <c r="H549" s="928"/>
      <c r="I549" s="928"/>
      <c r="J549" s="928"/>
      <c r="K549" s="928"/>
      <c r="L549" s="928"/>
      <c r="M549" s="928"/>
      <c r="N549" s="923">
        <v>60.988</v>
      </c>
      <c r="O549" s="765">
        <v>1.2000000000000455E-2</v>
      </c>
      <c r="P549" s="928"/>
      <c r="Q549" s="923">
        <v>1.2E-2</v>
      </c>
    </row>
    <row r="550" spans="1:17" s="929" customFormat="1" ht="17.25" customHeight="1">
      <c r="A550" s="186" t="s">
        <v>1619</v>
      </c>
      <c r="B550" s="535" t="s">
        <v>2448</v>
      </c>
      <c r="C550" s="915">
        <v>1700</v>
      </c>
      <c r="D550" s="915">
        <v>111601.3728</v>
      </c>
      <c r="E550" s="915">
        <v>41861</v>
      </c>
      <c r="F550" s="915">
        <v>69754.212400000004</v>
      </c>
      <c r="G550" s="915">
        <v>0</v>
      </c>
      <c r="H550" s="915">
        <v>0</v>
      </c>
      <c r="I550" s="915">
        <v>0</v>
      </c>
      <c r="J550" s="915">
        <v>0</v>
      </c>
      <c r="K550" s="915">
        <v>0</v>
      </c>
      <c r="L550" s="915">
        <v>13.839600000000001</v>
      </c>
      <c r="M550" s="915">
        <v>0</v>
      </c>
      <c r="N550" s="915">
        <v>118360.32932699998</v>
      </c>
      <c r="O550" s="915">
        <v>4145.5654730000024</v>
      </c>
      <c r="P550" s="915">
        <v>4145.5654729999997</v>
      </c>
      <c r="Q550" s="915">
        <v>0</v>
      </c>
    </row>
    <row r="551" spans="1:17" s="803" customFormat="1">
      <c r="A551" s="197">
        <v>1</v>
      </c>
      <c r="B551" s="202" t="s">
        <v>2449</v>
      </c>
      <c r="C551" s="916">
        <v>0</v>
      </c>
      <c r="D551" s="916">
        <v>93901.335999999996</v>
      </c>
      <c r="E551" s="916">
        <v>36321</v>
      </c>
      <c r="F551" s="916">
        <v>57594.17560000001</v>
      </c>
      <c r="G551" s="916">
        <v>0</v>
      </c>
      <c r="H551" s="916">
        <v>0</v>
      </c>
      <c r="I551" s="916">
        <v>0</v>
      </c>
      <c r="J551" s="916">
        <v>0</v>
      </c>
      <c r="K551" s="916">
        <v>0</v>
      </c>
      <c r="L551" s="916">
        <v>13.839600000000001</v>
      </c>
      <c r="M551" s="916">
        <v>0</v>
      </c>
      <c r="N551" s="916">
        <v>99733.292526999983</v>
      </c>
      <c r="O551" s="916">
        <v>3372.5654730000019</v>
      </c>
      <c r="P551" s="916">
        <v>3372.5654729999997</v>
      </c>
      <c r="Q551" s="916">
        <v>0</v>
      </c>
    </row>
    <row r="552" spans="1:17" s="792" customFormat="1">
      <c r="A552" s="787"/>
      <c r="B552" s="788" t="s">
        <v>2677</v>
      </c>
      <c r="C552" s="789">
        <v>9204.5220000000008</v>
      </c>
      <c r="D552" s="920">
        <v>79053.438473000002</v>
      </c>
      <c r="E552" s="790">
        <v>32921</v>
      </c>
      <c r="F552" s="790">
        <v>46132.438473000002</v>
      </c>
      <c r="G552" s="790"/>
      <c r="H552" s="790"/>
      <c r="I552" s="790"/>
      <c r="J552" s="790"/>
      <c r="K552" s="790"/>
      <c r="L552" s="790"/>
      <c r="M552" s="790"/>
      <c r="N552" s="789">
        <v>85022.074999999997</v>
      </c>
      <c r="O552" s="919">
        <v>3235.8854730000021</v>
      </c>
      <c r="P552" s="984">
        <v>3235.8854729999998</v>
      </c>
      <c r="Q552" s="790"/>
    </row>
    <row r="553" spans="1:17" s="792" customFormat="1">
      <c r="A553" s="787"/>
      <c r="B553" s="788" t="s">
        <v>2396</v>
      </c>
      <c r="C553" s="793"/>
      <c r="D553" s="920">
        <v>11587.176126999999</v>
      </c>
      <c r="E553" s="790">
        <v>3400</v>
      </c>
      <c r="F553" s="790">
        <v>8187.1761269999988</v>
      </c>
      <c r="G553" s="790"/>
      <c r="H553" s="790"/>
      <c r="I553" s="790"/>
      <c r="J553" s="790"/>
      <c r="K553" s="790"/>
      <c r="L553" s="790"/>
      <c r="M553" s="790"/>
      <c r="N553" s="789">
        <v>11587.176126999999</v>
      </c>
      <c r="O553" s="919">
        <v>0</v>
      </c>
      <c r="P553" s="793"/>
      <c r="Q553" s="790"/>
    </row>
    <row r="554" spans="1:17" s="804" customFormat="1">
      <c r="A554" s="794"/>
      <c r="B554" s="778" t="s">
        <v>484</v>
      </c>
      <c r="C554" s="920"/>
      <c r="D554" s="920">
        <v>1818.5989999999999</v>
      </c>
      <c r="E554" s="920"/>
      <c r="F554" s="920">
        <v>1818.5989999999999</v>
      </c>
      <c r="G554" s="928"/>
      <c r="H554" s="928"/>
      <c r="I554" s="928"/>
      <c r="J554" s="928"/>
      <c r="K554" s="928"/>
      <c r="L554" s="928"/>
      <c r="M554" s="928"/>
      <c r="N554" s="923">
        <v>1681.9190000000001</v>
      </c>
      <c r="O554" s="919">
        <v>136.67999999999984</v>
      </c>
      <c r="P554" s="928">
        <v>136.68</v>
      </c>
      <c r="Q554" s="923"/>
    </row>
    <row r="555" spans="1:17" s="804" customFormat="1">
      <c r="A555" s="794"/>
      <c r="B555" s="778" t="s">
        <v>1845</v>
      </c>
      <c r="C555" s="920"/>
      <c r="D555" s="920">
        <v>52.622</v>
      </c>
      <c r="E555" s="920"/>
      <c r="F555" s="920">
        <v>52.622</v>
      </c>
      <c r="G555" s="928"/>
      <c r="H555" s="928"/>
      <c r="I555" s="928"/>
      <c r="J555" s="928"/>
      <c r="K555" s="928"/>
      <c r="L555" s="928"/>
      <c r="M555" s="928"/>
      <c r="N555" s="923">
        <v>52.622</v>
      </c>
      <c r="O555" s="919">
        <v>0</v>
      </c>
      <c r="P555" s="928"/>
      <c r="Q555" s="923"/>
    </row>
    <row r="556" spans="1:17" s="804" customFormat="1">
      <c r="A556" s="794"/>
      <c r="B556" s="778" t="s">
        <v>1937</v>
      </c>
      <c r="C556" s="920"/>
      <c r="D556" s="920">
        <v>6.39</v>
      </c>
      <c r="E556" s="920"/>
      <c r="F556" s="920">
        <v>6.39</v>
      </c>
      <c r="G556" s="928"/>
      <c r="H556" s="928"/>
      <c r="I556" s="928"/>
      <c r="J556" s="928"/>
      <c r="K556" s="928"/>
      <c r="L556" s="928"/>
      <c r="M556" s="928"/>
      <c r="N556" s="923">
        <v>6.39</v>
      </c>
      <c r="O556" s="919">
        <v>0</v>
      </c>
      <c r="P556" s="928"/>
      <c r="Q556" s="923"/>
    </row>
    <row r="557" spans="1:17" s="804" customFormat="1">
      <c r="A557" s="794"/>
      <c r="B557" s="778" t="s">
        <v>2262</v>
      </c>
      <c r="C557" s="920"/>
      <c r="D557" s="920">
        <v>326.58499999999998</v>
      </c>
      <c r="E557" s="920"/>
      <c r="F557" s="920">
        <v>326.58499999999998</v>
      </c>
      <c r="G557" s="928"/>
      <c r="H557" s="928"/>
      <c r="I557" s="928"/>
      <c r="J557" s="928"/>
      <c r="K557" s="928"/>
      <c r="L557" s="928"/>
      <c r="M557" s="928"/>
      <c r="N557" s="923">
        <v>326.58499999999998</v>
      </c>
      <c r="O557" s="919">
        <v>0</v>
      </c>
      <c r="P557" s="928"/>
      <c r="Q557" s="923"/>
    </row>
    <row r="558" spans="1:17" s="804" customFormat="1" ht="18.75" customHeight="1">
      <c r="A558" s="794"/>
      <c r="B558" s="778" t="s">
        <v>525</v>
      </c>
      <c r="C558" s="920"/>
      <c r="D558" s="920">
        <v>282.12700000000001</v>
      </c>
      <c r="E558" s="920"/>
      <c r="F558" s="920">
        <v>290.12700000000001</v>
      </c>
      <c r="G558" s="928"/>
      <c r="H558" s="928"/>
      <c r="I558" s="928"/>
      <c r="J558" s="928"/>
      <c r="K558" s="928"/>
      <c r="L558" s="928">
        <v>8</v>
      </c>
      <c r="M558" s="928"/>
      <c r="N558" s="923">
        <v>282.12700000000001</v>
      </c>
      <c r="O558" s="919">
        <v>0</v>
      </c>
      <c r="P558" s="928"/>
      <c r="Q558" s="923"/>
    </row>
    <row r="559" spans="1:17" s="804" customFormat="1">
      <c r="A559" s="794"/>
      <c r="B559" s="801" t="s">
        <v>1317</v>
      </c>
      <c r="C559" s="920"/>
      <c r="D559" s="920">
        <v>3.5409999999999999</v>
      </c>
      <c r="E559" s="920"/>
      <c r="F559" s="920">
        <v>3.5409999999999999</v>
      </c>
      <c r="G559" s="928"/>
      <c r="H559" s="928"/>
      <c r="I559" s="928"/>
      <c r="J559" s="928"/>
      <c r="K559" s="928"/>
      <c r="L559" s="928"/>
      <c r="M559" s="928"/>
      <c r="N559" s="920">
        <v>3.5409999999999999</v>
      </c>
      <c r="O559" s="919">
        <v>0</v>
      </c>
      <c r="P559" s="928"/>
      <c r="Q559" s="923"/>
    </row>
    <row r="560" spans="1:17" s="804" customFormat="1">
      <c r="A560" s="794"/>
      <c r="B560" s="801" t="s">
        <v>1319</v>
      </c>
      <c r="C560" s="920"/>
      <c r="D560" s="920">
        <v>0.38200000000000001</v>
      </c>
      <c r="E560" s="920"/>
      <c r="F560" s="920">
        <v>0.38200000000000001</v>
      </c>
      <c r="G560" s="928"/>
      <c r="H560" s="928"/>
      <c r="I560" s="928"/>
      <c r="J560" s="928"/>
      <c r="K560" s="928"/>
      <c r="L560" s="928"/>
      <c r="M560" s="928"/>
      <c r="N560" s="920">
        <v>0.38200000000000001</v>
      </c>
      <c r="O560" s="919">
        <v>0</v>
      </c>
      <c r="P560" s="928"/>
      <c r="Q560" s="923"/>
    </row>
    <row r="561" spans="1:17" s="804" customFormat="1">
      <c r="A561" s="794"/>
      <c r="B561" s="801" t="s">
        <v>1703</v>
      </c>
      <c r="C561" s="920"/>
      <c r="D561" s="920">
        <v>26.372400000000003</v>
      </c>
      <c r="E561" s="920"/>
      <c r="F561" s="920">
        <v>32.212000000000003</v>
      </c>
      <c r="G561" s="928"/>
      <c r="H561" s="928"/>
      <c r="I561" s="928"/>
      <c r="J561" s="928"/>
      <c r="K561" s="928"/>
      <c r="L561" s="928">
        <v>5.8395999999999999</v>
      </c>
      <c r="M561" s="928"/>
      <c r="N561" s="920">
        <v>26.372399999999999</v>
      </c>
      <c r="O561" s="919">
        <v>0</v>
      </c>
      <c r="P561" s="928"/>
      <c r="Q561" s="923"/>
    </row>
    <row r="562" spans="1:17" s="804" customFormat="1">
      <c r="A562" s="794"/>
      <c r="B562" s="801" t="s">
        <v>1442</v>
      </c>
      <c r="C562" s="920"/>
      <c r="D562" s="920">
        <v>15.007999999999999</v>
      </c>
      <c r="E562" s="920"/>
      <c r="F562" s="920">
        <v>15.007999999999999</v>
      </c>
      <c r="G562" s="928"/>
      <c r="H562" s="928"/>
      <c r="I562" s="928"/>
      <c r="J562" s="928"/>
      <c r="K562" s="928"/>
      <c r="L562" s="928"/>
      <c r="M562" s="928"/>
      <c r="N562" s="920">
        <v>15.007999999999999</v>
      </c>
      <c r="O562" s="919">
        <v>0</v>
      </c>
      <c r="P562" s="928"/>
      <c r="Q562" s="923"/>
    </row>
    <row r="563" spans="1:17" s="804" customFormat="1">
      <c r="A563" s="794"/>
      <c r="B563" s="782" t="s">
        <v>1441</v>
      </c>
      <c r="C563" s="920"/>
      <c r="D563" s="920">
        <v>39.856000000000002</v>
      </c>
      <c r="E563" s="920"/>
      <c r="F563" s="920">
        <v>39.856000000000002</v>
      </c>
      <c r="G563" s="928"/>
      <c r="H563" s="928"/>
      <c r="I563" s="928"/>
      <c r="J563" s="928"/>
      <c r="K563" s="928"/>
      <c r="L563" s="928"/>
      <c r="M563" s="928"/>
      <c r="N563" s="920">
        <v>39.856000000000002</v>
      </c>
      <c r="O563" s="919">
        <v>0</v>
      </c>
      <c r="P563" s="928"/>
      <c r="Q563" s="923"/>
    </row>
    <row r="564" spans="1:17" s="804" customFormat="1">
      <c r="A564" s="794"/>
      <c r="B564" s="782" t="s">
        <v>1445</v>
      </c>
      <c r="C564" s="920"/>
      <c r="D564" s="920">
        <v>26.577999999999999</v>
      </c>
      <c r="E564" s="920"/>
      <c r="F564" s="920">
        <v>26.577999999999999</v>
      </c>
      <c r="G564" s="928"/>
      <c r="H564" s="928"/>
      <c r="I564" s="928"/>
      <c r="J564" s="928"/>
      <c r="K564" s="928"/>
      <c r="L564" s="928"/>
      <c r="M564" s="928"/>
      <c r="N564" s="920">
        <v>26.577999999999999</v>
      </c>
      <c r="O564" s="919">
        <v>0</v>
      </c>
      <c r="P564" s="928"/>
      <c r="Q564" s="923"/>
    </row>
    <row r="565" spans="1:17" s="804" customFormat="1">
      <c r="A565" s="794"/>
      <c r="B565" s="782" t="s">
        <v>1439</v>
      </c>
      <c r="C565" s="920"/>
      <c r="D565" s="920">
        <v>37.100999999999999</v>
      </c>
      <c r="E565" s="920"/>
      <c r="F565" s="920">
        <v>37.100999999999999</v>
      </c>
      <c r="G565" s="928"/>
      <c r="H565" s="928"/>
      <c r="I565" s="928"/>
      <c r="J565" s="928"/>
      <c r="K565" s="928"/>
      <c r="L565" s="928"/>
      <c r="M565" s="928"/>
      <c r="N565" s="920">
        <v>37.100999999999999</v>
      </c>
      <c r="O565" s="919">
        <v>0</v>
      </c>
      <c r="P565" s="928"/>
      <c r="Q565" s="923"/>
    </row>
    <row r="566" spans="1:17" s="804" customFormat="1">
      <c r="A566" s="794"/>
      <c r="B566" s="782" t="s">
        <v>1443</v>
      </c>
      <c r="C566" s="920"/>
      <c r="D566" s="920">
        <v>31.565999999999999</v>
      </c>
      <c r="E566" s="920"/>
      <c r="F566" s="920">
        <v>31.565999999999999</v>
      </c>
      <c r="G566" s="928"/>
      <c r="H566" s="928"/>
      <c r="I566" s="928"/>
      <c r="J566" s="928"/>
      <c r="K566" s="928"/>
      <c r="L566" s="928"/>
      <c r="M566" s="928"/>
      <c r="N566" s="920">
        <v>31.565999999999999</v>
      </c>
      <c r="O566" s="919">
        <v>0</v>
      </c>
      <c r="P566" s="928"/>
      <c r="Q566" s="923"/>
    </row>
    <row r="567" spans="1:17" s="804" customFormat="1">
      <c r="A567" s="794"/>
      <c r="B567" s="782" t="s">
        <v>1446</v>
      </c>
      <c r="C567" s="920"/>
      <c r="D567" s="920">
        <v>33.133000000000003</v>
      </c>
      <c r="E567" s="920"/>
      <c r="F567" s="920">
        <v>33.133000000000003</v>
      </c>
      <c r="G567" s="928"/>
      <c r="H567" s="928"/>
      <c r="I567" s="928"/>
      <c r="J567" s="928"/>
      <c r="K567" s="928"/>
      <c r="L567" s="928"/>
      <c r="M567" s="928"/>
      <c r="N567" s="920">
        <v>33.133000000000003</v>
      </c>
      <c r="O567" s="919">
        <v>0</v>
      </c>
      <c r="P567" s="928"/>
      <c r="Q567" s="923"/>
    </row>
    <row r="568" spans="1:17" s="804" customFormat="1">
      <c r="A568" s="794"/>
      <c r="B568" s="782" t="s">
        <v>2450</v>
      </c>
      <c r="C568" s="920"/>
      <c r="D568" s="920">
        <v>27.54</v>
      </c>
      <c r="E568" s="920"/>
      <c r="F568" s="920">
        <v>27.54</v>
      </c>
      <c r="G568" s="928"/>
      <c r="H568" s="928"/>
      <c r="I568" s="928"/>
      <c r="J568" s="928"/>
      <c r="K568" s="928"/>
      <c r="L568" s="928"/>
      <c r="M568" s="928"/>
      <c r="N568" s="920">
        <v>27.54</v>
      </c>
      <c r="O568" s="919">
        <v>0</v>
      </c>
      <c r="P568" s="928"/>
      <c r="Q568" s="923"/>
    </row>
    <row r="569" spans="1:17" s="804" customFormat="1">
      <c r="A569" s="794"/>
      <c r="B569" s="778" t="s">
        <v>451</v>
      </c>
      <c r="C569" s="920"/>
      <c r="D569" s="920">
        <v>66.44</v>
      </c>
      <c r="E569" s="920"/>
      <c r="F569" s="920">
        <v>66.44</v>
      </c>
      <c r="G569" s="928"/>
      <c r="H569" s="928"/>
      <c r="I569" s="928"/>
      <c r="J569" s="928"/>
      <c r="K569" s="928"/>
      <c r="L569" s="928"/>
      <c r="M569" s="928"/>
      <c r="N569" s="923">
        <v>66.44</v>
      </c>
      <c r="O569" s="919">
        <v>0</v>
      </c>
      <c r="P569" s="928"/>
      <c r="Q569" s="923"/>
    </row>
    <row r="570" spans="1:17" s="804" customFormat="1">
      <c r="A570" s="794"/>
      <c r="B570" s="778" t="s">
        <v>560</v>
      </c>
      <c r="C570" s="920"/>
      <c r="D570" s="920">
        <v>328.60700000000003</v>
      </c>
      <c r="E570" s="920"/>
      <c r="F570" s="920">
        <v>328.60700000000003</v>
      </c>
      <c r="G570" s="928"/>
      <c r="H570" s="928"/>
      <c r="I570" s="928"/>
      <c r="J570" s="928"/>
      <c r="K570" s="928"/>
      <c r="L570" s="928"/>
      <c r="M570" s="928"/>
      <c r="N570" s="923">
        <v>328.60700000000003</v>
      </c>
      <c r="O570" s="919">
        <v>0</v>
      </c>
      <c r="P570" s="928"/>
      <c r="Q570" s="923"/>
    </row>
    <row r="571" spans="1:17" s="804" customFormat="1">
      <c r="A571" s="794"/>
      <c r="B571" s="778" t="s">
        <v>2260</v>
      </c>
      <c r="C571" s="920"/>
      <c r="D571" s="920">
        <v>138.274</v>
      </c>
      <c r="E571" s="920"/>
      <c r="F571" s="920">
        <v>138.274</v>
      </c>
      <c r="G571" s="928"/>
      <c r="H571" s="928"/>
      <c r="I571" s="928"/>
      <c r="J571" s="928"/>
      <c r="K571" s="928"/>
      <c r="L571" s="928"/>
      <c r="M571" s="928"/>
      <c r="N571" s="923">
        <v>138.274</v>
      </c>
      <c r="O571" s="919">
        <v>0</v>
      </c>
      <c r="P571" s="928"/>
      <c r="Q571" s="923"/>
    </row>
    <row r="572" spans="1:17" s="804" customFormat="1">
      <c r="A572" s="794">
        <v>2</v>
      </c>
      <c r="B572" s="778" t="s">
        <v>2678</v>
      </c>
      <c r="C572" s="920">
        <v>1700</v>
      </c>
      <c r="D572" s="920">
        <v>17700.036800000002</v>
      </c>
      <c r="E572" s="916">
        <v>5540</v>
      </c>
      <c r="F572" s="920">
        <v>12160.0368</v>
      </c>
      <c r="G572" s="928"/>
      <c r="H572" s="928"/>
      <c r="I572" s="928"/>
      <c r="J572" s="928"/>
      <c r="K572" s="928"/>
      <c r="L572" s="928"/>
      <c r="M572" s="928"/>
      <c r="N572" s="923">
        <v>18627.036800000002</v>
      </c>
      <c r="O572" s="919">
        <v>773</v>
      </c>
      <c r="P572" s="928">
        <v>773</v>
      </c>
      <c r="Q572" s="923"/>
    </row>
    <row r="573" spans="1:17">
      <c r="C573" s="181"/>
      <c r="D573" s="181"/>
      <c r="E573" s="181"/>
      <c r="F573" s="181"/>
      <c r="G573" s="181"/>
      <c r="H573" s="181"/>
      <c r="I573" s="181"/>
      <c r="J573" s="181"/>
      <c r="K573" s="181"/>
      <c r="L573" s="181"/>
      <c r="M573" s="181"/>
      <c r="N573" s="181"/>
      <c r="O573" s="181"/>
      <c r="P573" s="181"/>
      <c r="Q573" s="181"/>
    </row>
  </sheetData>
  <mergeCells count="20">
    <mergeCell ref="P6:Q6"/>
    <mergeCell ref="P7:P8"/>
    <mergeCell ref="O1:Q1"/>
    <mergeCell ref="E7:E8"/>
    <mergeCell ref="F7:I7"/>
    <mergeCell ref="J7:J8"/>
    <mergeCell ref="K7:K8"/>
    <mergeCell ref="Q7:Q8"/>
    <mergeCell ref="A3:Q3"/>
    <mergeCell ref="A6:A8"/>
    <mergeCell ref="B6:B8"/>
    <mergeCell ref="C6:C8"/>
    <mergeCell ref="L7:L8"/>
    <mergeCell ref="M7:M8"/>
    <mergeCell ref="D6:D8"/>
    <mergeCell ref="A2:Q2"/>
    <mergeCell ref="P4:Q4"/>
    <mergeCell ref="E6:M6"/>
    <mergeCell ref="N6:N8"/>
    <mergeCell ref="O6:O8"/>
  </mergeCells>
  <pageMargins left="0.44685039399999998" right="0.196850393700787" top="0.85" bottom="0.75" header="0.31496062992126" footer="0.31496062992126"/>
  <pageSetup paperSize="8" scale="85" orientation="landscape" r:id="rId1"/>
  <headerFoot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A29"/>
  <sheetViews>
    <sheetView zoomScale="77" zoomScaleNormal="77" workbookViewId="0">
      <pane xSplit="2" ySplit="9" topLeftCell="L10" activePane="bottomRight" state="frozen"/>
      <selection pane="topRight" activeCell="C1" sqref="C1"/>
      <selection pane="bottomLeft" activeCell="A14" sqref="A14"/>
      <selection pane="bottomRight" activeCell="AJ13" sqref="AJ13"/>
    </sheetView>
  </sheetViews>
  <sheetFormatPr defaultRowHeight="18.75" customHeight="1"/>
  <cols>
    <col min="1" max="1" width="4.625" style="181" customWidth="1"/>
    <col min="2" max="2" width="17.75" style="181" customWidth="1"/>
    <col min="3" max="4" width="10.125" style="181" customWidth="1"/>
    <col min="5" max="5" width="10.375" style="181" customWidth="1"/>
    <col min="6" max="6" width="9" style="181" customWidth="1"/>
    <col min="7" max="7" width="9.875" style="181" customWidth="1"/>
    <col min="8" max="8" width="13.25" style="575" customWidth="1"/>
    <col min="9" max="9" width="12.25" style="575" customWidth="1"/>
    <col min="10" max="10" width="11.125" style="575" customWidth="1"/>
    <col min="11" max="11" width="12.125" style="575" customWidth="1"/>
    <col min="12" max="12" width="11.375" style="575" customWidth="1"/>
    <col min="13" max="13" width="13.75" style="575" customWidth="1"/>
    <col min="14" max="14" width="13.125" style="575" customWidth="1"/>
    <col min="15" max="15" width="10.625" style="575" customWidth="1"/>
    <col min="16" max="16" width="12.875" style="575" customWidth="1"/>
    <col min="17" max="17" width="11" style="575" customWidth="1"/>
    <col min="18" max="18" width="12.375" style="575" customWidth="1"/>
    <col min="19" max="19" width="10.25" style="575" customWidth="1"/>
    <col min="20" max="20" width="11.625" style="575" customWidth="1"/>
    <col min="21" max="21" width="13.875" style="575" customWidth="1"/>
    <col min="22" max="23" width="16" style="753" hidden="1" customWidth="1"/>
    <col min="24" max="24" width="10.875" style="575" customWidth="1"/>
    <col min="25" max="25" width="7.625" style="181" customWidth="1"/>
    <col min="26" max="26" width="6.875" style="181" customWidth="1"/>
    <col min="27" max="27" width="6.625" style="181" customWidth="1"/>
    <col min="28" max="16384" width="9" style="181"/>
  </cols>
  <sheetData>
    <row r="1" spans="1:27" ht="18.75" customHeight="1">
      <c r="Y1" s="550" t="s">
        <v>166</v>
      </c>
    </row>
    <row r="2" spans="1:27" ht="23.25" customHeight="1">
      <c r="A2" s="1081" t="s">
        <v>2407</v>
      </c>
      <c r="B2" s="1081"/>
      <c r="C2" s="1081"/>
      <c r="D2" s="1081"/>
      <c r="E2" s="1081"/>
      <c r="F2" s="1081"/>
      <c r="G2" s="1081"/>
      <c r="H2" s="1081"/>
      <c r="I2" s="1081"/>
      <c r="J2" s="1081"/>
      <c r="K2" s="1081"/>
      <c r="L2" s="1081"/>
      <c r="M2" s="1081"/>
      <c r="N2" s="1081"/>
      <c r="O2" s="1081"/>
      <c r="P2" s="1081"/>
      <c r="Q2" s="1081"/>
      <c r="R2" s="1081"/>
      <c r="S2" s="1081"/>
      <c r="T2" s="1081"/>
      <c r="U2" s="1081"/>
      <c r="V2" s="1081"/>
      <c r="W2" s="1081"/>
      <c r="X2" s="1081"/>
      <c r="Y2" s="1081"/>
      <c r="Z2" s="1081"/>
      <c r="AA2" s="1081"/>
    </row>
    <row r="3" spans="1:27" ht="23.25" customHeight="1">
      <c r="A3" s="1074" t="s">
        <v>2397</v>
      </c>
      <c r="B3" s="1074"/>
      <c r="C3" s="1074"/>
      <c r="D3" s="1074"/>
      <c r="E3" s="1074"/>
      <c r="F3" s="1074"/>
      <c r="G3" s="1074"/>
      <c r="H3" s="1074"/>
      <c r="I3" s="1074"/>
      <c r="J3" s="1074"/>
      <c r="K3" s="1074"/>
      <c r="L3" s="1074"/>
      <c r="M3" s="1074"/>
      <c r="N3" s="1074"/>
      <c r="O3" s="1074"/>
      <c r="P3" s="1074"/>
      <c r="Q3" s="1074"/>
      <c r="R3" s="1074"/>
      <c r="S3" s="1074"/>
      <c r="T3" s="1074"/>
      <c r="U3" s="1074"/>
      <c r="V3" s="1074"/>
      <c r="W3" s="1074"/>
      <c r="X3" s="1074"/>
      <c r="Y3" s="1074"/>
      <c r="Z3" s="1074"/>
      <c r="AA3" s="1074"/>
    </row>
    <row r="4" spans="1:27" ht="24.75" customHeight="1">
      <c r="G4" s="1033"/>
      <c r="H4" s="751">
        <v>6876409.6765729999</v>
      </c>
      <c r="I4" s="751">
        <v>4.0000000037252903E-2</v>
      </c>
      <c r="J4" s="751"/>
      <c r="U4" s="1127" t="s">
        <v>1861</v>
      </c>
      <c r="V4" s="1127"/>
      <c r="W4" s="1127"/>
      <c r="X4" s="1127"/>
      <c r="Y4" s="1127"/>
      <c r="Z4" s="1127"/>
      <c r="AA4" s="1127"/>
    </row>
    <row r="5" spans="1:27" ht="23.25" customHeight="1">
      <c r="A5" s="1075" t="s">
        <v>3</v>
      </c>
      <c r="B5" s="1076" t="s">
        <v>242</v>
      </c>
      <c r="C5" s="1075" t="s">
        <v>1627</v>
      </c>
      <c r="D5" s="1075"/>
      <c r="E5" s="1075"/>
      <c r="F5" s="1075"/>
      <c r="G5" s="1075"/>
      <c r="H5" s="614"/>
      <c r="I5" s="1124" t="s">
        <v>5</v>
      </c>
      <c r="J5" s="1125"/>
      <c r="K5" s="1125"/>
      <c r="L5" s="1125"/>
      <c r="M5" s="1125"/>
      <c r="N5" s="1125"/>
      <c r="O5" s="1125"/>
      <c r="P5" s="1125"/>
      <c r="Q5" s="1125"/>
      <c r="R5" s="1125"/>
      <c r="S5" s="1125"/>
      <c r="T5" s="1125"/>
      <c r="U5" s="1125"/>
      <c r="V5" s="1125"/>
      <c r="W5" s="1125"/>
      <c r="X5" s="1126"/>
      <c r="Y5" s="1075" t="s">
        <v>52</v>
      </c>
      <c r="Z5" s="1075"/>
      <c r="AA5" s="1075"/>
    </row>
    <row r="6" spans="1:27" ht="18.75" customHeight="1">
      <c r="A6" s="1075"/>
      <c r="B6" s="1112"/>
      <c r="C6" s="1075" t="s">
        <v>153</v>
      </c>
      <c r="D6" s="1075" t="s">
        <v>30</v>
      </c>
      <c r="E6" s="1075" t="s">
        <v>31</v>
      </c>
      <c r="F6" s="1075" t="s">
        <v>253</v>
      </c>
      <c r="G6" s="1075" t="s">
        <v>55</v>
      </c>
      <c r="H6" s="1078" t="s">
        <v>153</v>
      </c>
      <c r="I6" s="1124" t="s">
        <v>30</v>
      </c>
      <c r="J6" s="1125"/>
      <c r="K6" s="1125"/>
      <c r="L6" s="1126"/>
      <c r="M6" s="1124" t="s">
        <v>31</v>
      </c>
      <c r="N6" s="1125"/>
      <c r="O6" s="1125"/>
      <c r="P6" s="1078" t="s">
        <v>169</v>
      </c>
      <c r="Q6" s="1078"/>
      <c r="R6" s="1078"/>
      <c r="S6" s="1121" t="s">
        <v>1902</v>
      </c>
      <c r="T6" s="1121" t="s">
        <v>1695</v>
      </c>
      <c r="U6" s="1078" t="s">
        <v>38</v>
      </c>
      <c r="V6" s="907"/>
      <c r="W6" s="907"/>
      <c r="X6" s="1078" t="s">
        <v>1144</v>
      </c>
      <c r="Y6" s="1075" t="s">
        <v>153</v>
      </c>
      <c r="Z6" s="1075" t="s">
        <v>30</v>
      </c>
      <c r="AA6" s="1075" t="s">
        <v>31</v>
      </c>
    </row>
    <row r="7" spans="1:27" ht="18.75" customHeight="1">
      <c r="A7" s="1075"/>
      <c r="B7" s="1112"/>
      <c r="C7" s="1075"/>
      <c r="D7" s="1075"/>
      <c r="E7" s="1075"/>
      <c r="F7" s="1075"/>
      <c r="G7" s="1075"/>
      <c r="H7" s="1078"/>
      <c r="I7" s="1078" t="s">
        <v>153</v>
      </c>
      <c r="J7" s="1124" t="s">
        <v>158</v>
      </c>
      <c r="K7" s="1125"/>
      <c r="L7" s="1126"/>
      <c r="M7" s="1078" t="s">
        <v>153</v>
      </c>
      <c r="N7" s="1124" t="s">
        <v>158</v>
      </c>
      <c r="O7" s="1126"/>
      <c r="P7" s="1078" t="s">
        <v>153</v>
      </c>
      <c r="Q7" s="1078" t="s">
        <v>158</v>
      </c>
      <c r="R7" s="1078"/>
      <c r="S7" s="1122"/>
      <c r="T7" s="1122"/>
      <c r="U7" s="1078"/>
      <c r="V7" s="907"/>
      <c r="W7" s="907"/>
      <c r="X7" s="1078"/>
      <c r="Y7" s="1075"/>
      <c r="Z7" s="1075"/>
      <c r="AA7" s="1075"/>
    </row>
    <row r="8" spans="1:27" ht="103.5" customHeight="1">
      <c r="A8" s="1075"/>
      <c r="B8" s="1077"/>
      <c r="C8" s="1075"/>
      <c r="D8" s="1075"/>
      <c r="E8" s="1075"/>
      <c r="F8" s="1075"/>
      <c r="G8" s="1075"/>
      <c r="H8" s="1078"/>
      <c r="I8" s="1078"/>
      <c r="J8" s="577" t="s">
        <v>170</v>
      </c>
      <c r="K8" s="845" t="s">
        <v>1918</v>
      </c>
      <c r="L8" s="1034" t="s">
        <v>2241</v>
      </c>
      <c r="M8" s="1078"/>
      <c r="N8" s="577" t="s">
        <v>170</v>
      </c>
      <c r="O8" s="577" t="s">
        <v>137</v>
      </c>
      <c r="P8" s="1078"/>
      <c r="Q8" s="577" t="s">
        <v>30</v>
      </c>
      <c r="R8" s="577" t="s">
        <v>31</v>
      </c>
      <c r="S8" s="1123"/>
      <c r="T8" s="1123"/>
      <c r="U8" s="1078"/>
      <c r="V8" s="907"/>
      <c r="W8" s="907"/>
      <c r="X8" s="1078"/>
      <c r="Y8" s="1075"/>
      <c r="Z8" s="1075"/>
      <c r="AA8" s="1075"/>
    </row>
    <row r="9" spans="1:27" s="507" customFormat="1" ht="43.5" customHeight="1">
      <c r="A9" s="535"/>
      <c r="B9" s="187" t="s">
        <v>154</v>
      </c>
      <c r="C9" s="539">
        <v>4048479</v>
      </c>
      <c r="D9" s="539">
        <v>460683</v>
      </c>
      <c r="E9" s="539">
        <v>3341245</v>
      </c>
      <c r="F9" s="539">
        <v>77588</v>
      </c>
      <c r="G9" s="539">
        <v>168963</v>
      </c>
      <c r="H9" s="578">
        <v>6876409.6365729999</v>
      </c>
      <c r="I9" s="578">
        <v>930855.31527000014</v>
      </c>
      <c r="J9" s="578">
        <v>133493.65899999999</v>
      </c>
      <c r="K9" s="911">
        <v>570691.41479299997</v>
      </c>
      <c r="L9" s="578">
        <v>78909.06719999999</v>
      </c>
      <c r="M9" s="578">
        <v>3730291.8663870003</v>
      </c>
      <c r="N9" s="578">
        <v>2134888.3924940005</v>
      </c>
      <c r="O9" s="578">
        <v>73519.247242000012</v>
      </c>
      <c r="P9" s="578">
        <v>705988.60809999995</v>
      </c>
      <c r="Q9" s="578">
        <v>578917.99395799998</v>
      </c>
      <c r="R9" s="578">
        <v>127070.61414200001</v>
      </c>
      <c r="S9" s="578">
        <v>25015.883999999998</v>
      </c>
      <c r="T9" s="578">
        <v>235620.14174199998</v>
      </c>
      <c r="U9" s="768">
        <v>1208643.3106760001</v>
      </c>
      <c r="V9" s="908"/>
      <c r="W9" s="908"/>
      <c r="X9" s="578">
        <v>39994.550398000007</v>
      </c>
      <c r="Y9" s="547">
        <v>1.6985168100348302</v>
      </c>
      <c r="Z9" s="547">
        <v>2.020598362149244</v>
      </c>
      <c r="AA9" s="547">
        <v>1.1164376950469062</v>
      </c>
    </row>
    <row r="10" spans="1:27" ht="33" customHeight="1">
      <c r="A10" s="199">
        <v>1</v>
      </c>
      <c r="B10" s="202" t="s">
        <v>243</v>
      </c>
      <c r="C10" s="479">
        <v>512128</v>
      </c>
      <c r="D10" s="479">
        <v>132790</v>
      </c>
      <c r="E10" s="479">
        <v>357504</v>
      </c>
      <c r="F10" s="479">
        <v>10006</v>
      </c>
      <c r="G10" s="479">
        <v>11828</v>
      </c>
      <c r="H10" s="576">
        <v>797720.20157699985</v>
      </c>
      <c r="I10" s="576">
        <v>167250.16812699998</v>
      </c>
      <c r="J10" s="576">
        <v>23571.059999999998</v>
      </c>
      <c r="K10" s="906">
        <v>162577.09599999999</v>
      </c>
      <c r="L10" s="576">
        <v>0</v>
      </c>
      <c r="M10" s="576">
        <v>360166.87417399994</v>
      </c>
      <c r="N10" s="576">
        <v>201037.56833800001</v>
      </c>
      <c r="O10" s="576">
        <v>37478.872618000001</v>
      </c>
      <c r="P10" s="576">
        <v>1477.623</v>
      </c>
      <c r="Q10" s="576">
        <v>0</v>
      </c>
      <c r="R10" s="576">
        <v>1477.623</v>
      </c>
      <c r="S10" s="576">
        <v>0</v>
      </c>
      <c r="T10" s="576">
        <v>64745.265000000007</v>
      </c>
      <c r="U10" s="765">
        <v>203271.43607599998</v>
      </c>
      <c r="V10" s="909">
        <v>170284.81703999999</v>
      </c>
      <c r="W10" s="909">
        <v>32986.619035999996</v>
      </c>
      <c r="X10" s="576">
        <v>808.83519999999999</v>
      </c>
      <c r="Y10" s="548">
        <v>1.5576578542415174</v>
      </c>
      <c r="Z10" s="548">
        <v>1.2595087591460199</v>
      </c>
      <c r="AA10" s="548">
        <v>1.0074485157480755</v>
      </c>
    </row>
    <row r="11" spans="1:27" ht="35.25" customHeight="1">
      <c r="A11" s="199">
        <v>2</v>
      </c>
      <c r="B11" s="202" t="s">
        <v>244</v>
      </c>
      <c r="C11" s="479">
        <v>172026</v>
      </c>
      <c r="D11" s="479">
        <v>25314</v>
      </c>
      <c r="E11" s="479">
        <v>132794</v>
      </c>
      <c r="F11" s="479">
        <v>3227</v>
      </c>
      <c r="G11" s="479">
        <v>10691</v>
      </c>
      <c r="H11" s="576">
        <v>247269.37972299999</v>
      </c>
      <c r="I11" s="576">
        <v>31914.343371999999</v>
      </c>
      <c r="J11" s="576">
        <v>1980.7929999999999</v>
      </c>
      <c r="K11" s="912">
        <v>25539.200000000001</v>
      </c>
      <c r="L11" s="576">
        <v>0</v>
      </c>
      <c r="M11" s="576">
        <v>157969.908436</v>
      </c>
      <c r="N11" s="576">
        <v>72459.197432000001</v>
      </c>
      <c r="O11" s="576">
        <v>8682.6292369999992</v>
      </c>
      <c r="P11" s="576">
        <v>2078.5525000000002</v>
      </c>
      <c r="Q11" s="576">
        <v>295.80650000000003</v>
      </c>
      <c r="R11" s="576">
        <v>1782.7460000000001</v>
      </c>
      <c r="S11" s="576">
        <v>0</v>
      </c>
      <c r="T11" s="576">
        <v>8775.1704420000005</v>
      </c>
      <c r="U11" s="765">
        <v>46531.404972999997</v>
      </c>
      <c r="V11" s="909">
        <v>42010.613906999999</v>
      </c>
      <c r="W11" s="909">
        <v>4520.7910659999998</v>
      </c>
      <c r="X11" s="576">
        <v>0</v>
      </c>
      <c r="Y11" s="548">
        <v>1.4373953921093323</v>
      </c>
      <c r="Z11" s="548">
        <v>1.2607388548629217</v>
      </c>
      <c r="AA11" s="548">
        <v>1.1895861894061479</v>
      </c>
    </row>
    <row r="12" spans="1:27" ht="35.25" customHeight="1">
      <c r="A12" s="199">
        <v>3</v>
      </c>
      <c r="B12" s="202" t="s">
        <v>247</v>
      </c>
      <c r="C12" s="479">
        <v>457911</v>
      </c>
      <c r="D12" s="479">
        <v>61820</v>
      </c>
      <c r="E12" s="479">
        <v>363867</v>
      </c>
      <c r="F12" s="479">
        <v>8687</v>
      </c>
      <c r="G12" s="479">
        <v>23537</v>
      </c>
      <c r="H12" s="576">
        <v>860797.40034799988</v>
      </c>
      <c r="I12" s="576">
        <v>156568.43140199999</v>
      </c>
      <c r="J12" s="576">
        <v>27379.574000000008</v>
      </c>
      <c r="K12" s="906">
        <v>105743.992642</v>
      </c>
      <c r="L12" s="576">
        <v>17164.213</v>
      </c>
      <c r="M12" s="576">
        <v>427542.88079400006</v>
      </c>
      <c r="N12" s="576">
        <v>224881.68075299999</v>
      </c>
      <c r="O12" s="576">
        <v>3199.0132600000002</v>
      </c>
      <c r="P12" s="576">
        <v>69601.839399999997</v>
      </c>
      <c r="Q12" s="576">
        <v>65650.493000000002</v>
      </c>
      <c r="R12" s="576">
        <v>3951.3463999999994</v>
      </c>
      <c r="S12" s="576">
        <v>13865.884</v>
      </c>
      <c r="T12" s="576">
        <v>22706.506599999986</v>
      </c>
      <c r="U12" s="765">
        <v>164960.34220300001</v>
      </c>
      <c r="V12" s="909">
        <v>154155.41366600001</v>
      </c>
      <c r="W12" s="909">
        <v>10804.928537</v>
      </c>
      <c r="X12" s="576">
        <v>5551.5159489999996</v>
      </c>
      <c r="Y12" s="548">
        <v>1.8798356020012621</v>
      </c>
      <c r="Z12" s="548">
        <v>2.5326501359107083</v>
      </c>
      <c r="AA12" s="548">
        <v>1.1749976799050204</v>
      </c>
    </row>
    <row r="13" spans="1:27" ht="35.25" customHeight="1">
      <c r="A13" s="199">
        <v>4</v>
      </c>
      <c r="B13" s="202" t="s">
        <v>248</v>
      </c>
      <c r="C13" s="479">
        <v>470514</v>
      </c>
      <c r="D13" s="479">
        <v>33684</v>
      </c>
      <c r="E13" s="479">
        <v>407238</v>
      </c>
      <c r="F13" s="479">
        <v>8995</v>
      </c>
      <c r="G13" s="479">
        <v>20597</v>
      </c>
      <c r="H13" s="576">
        <v>729827.19116899988</v>
      </c>
      <c r="I13" s="576">
        <v>86918.991699999999</v>
      </c>
      <c r="J13" s="576">
        <v>5516.7548999999981</v>
      </c>
      <c r="K13" s="906">
        <v>23231.986000000001</v>
      </c>
      <c r="L13" s="576">
        <v>20288.463</v>
      </c>
      <c r="M13" s="576">
        <v>472408.07749</v>
      </c>
      <c r="N13" s="576">
        <v>256359.36419299999</v>
      </c>
      <c r="O13" s="576">
        <v>2999.0363010000001</v>
      </c>
      <c r="P13" s="576">
        <v>64826.969131999991</v>
      </c>
      <c r="Q13" s="576">
        <v>60679.343899999993</v>
      </c>
      <c r="R13" s="576">
        <v>4147.6252320000003</v>
      </c>
      <c r="S13" s="576">
        <v>0</v>
      </c>
      <c r="T13" s="576">
        <v>8.6800000644871034E-4</v>
      </c>
      <c r="U13" s="765">
        <v>87361.286679000012</v>
      </c>
      <c r="V13" s="909">
        <v>69498.045188000004</v>
      </c>
      <c r="W13" s="909">
        <v>17863.241491000001</v>
      </c>
      <c r="X13" s="576">
        <v>18311.865300000001</v>
      </c>
      <c r="Y13" s="548">
        <v>1.5511274715927685</v>
      </c>
      <c r="Z13" s="548">
        <v>2.5804236937418357</v>
      </c>
      <c r="AA13" s="548">
        <v>1.1600294606348132</v>
      </c>
    </row>
    <row r="14" spans="1:27" ht="35.25" customHeight="1">
      <c r="A14" s="199">
        <v>5</v>
      </c>
      <c r="B14" s="202" t="s">
        <v>246</v>
      </c>
      <c r="C14" s="479">
        <v>437006</v>
      </c>
      <c r="D14" s="479">
        <v>33732</v>
      </c>
      <c r="E14" s="479">
        <v>374582</v>
      </c>
      <c r="F14" s="479">
        <v>8333</v>
      </c>
      <c r="G14" s="479">
        <v>20359</v>
      </c>
      <c r="H14" s="576">
        <v>657805.18058299995</v>
      </c>
      <c r="I14" s="576">
        <v>81577.457817999995</v>
      </c>
      <c r="J14" s="576">
        <v>6049.0390000000007</v>
      </c>
      <c r="K14" s="906">
        <v>36830.400000000001</v>
      </c>
      <c r="L14" s="576">
        <v>15044.477000000001</v>
      </c>
      <c r="M14" s="576">
        <v>428352.62506699999</v>
      </c>
      <c r="N14" s="576">
        <v>228092.64359999998</v>
      </c>
      <c r="O14" s="576">
        <v>3132.7280000000001</v>
      </c>
      <c r="P14" s="576">
        <v>58279.2192</v>
      </c>
      <c r="Q14" s="576">
        <v>43305.769</v>
      </c>
      <c r="R14" s="576">
        <v>14973.450199999999</v>
      </c>
      <c r="S14" s="576">
        <v>0</v>
      </c>
      <c r="T14" s="576">
        <v>94.892799999999625</v>
      </c>
      <c r="U14" s="765">
        <v>88531.981039000006</v>
      </c>
      <c r="V14" s="909">
        <v>77729.770369999998</v>
      </c>
      <c r="W14" s="909">
        <v>10802.210669</v>
      </c>
      <c r="X14" s="576">
        <v>969.00465900000006</v>
      </c>
      <c r="Y14" s="548">
        <v>1.5052543456680227</v>
      </c>
      <c r="Z14" s="548">
        <v>2.4183996744337719</v>
      </c>
      <c r="AA14" s="548">
        <v>1.1435483420639538</v>
      </c>
    </row>
    <row r="15" spans="1:27" ht="35.25" customHeight="1">
      <c r="A15" s="199">
        <v>6</v>
      </c>
      <c r="B15" s="202" t="s">
        <v>245</v>
      </c>
      <c r="C15" s="479">
        <v>516114</v>
      </c>
      <c r="D15" s="479">
        <v>76668</v>
      </c>
      <c r="E15" s="479">
        <v>404591</v>
      </c>
      <c r="F15" s="479">
        <v>9822</v>
      </c>
      <c r="G15" s="479">
        <v>25033</v>
      </c>
      <c r="H15" s="576">
        <v>911938.17728299985</v>
      </c>
      <c r="I15" s="576">
        <v>205709.383711</v>
      </c>
      <c r="J15" s="576">
        <v>31491.129299999997</v>
      </c>
      <c r="K15" s="906">
        <v>137355.80301100001</v>
      </c>
      <c r="L15" s="576">
        <v>19036.6862</v>
      </c>
      <c r="M15" s="576">
        <v>455582.48392399994</v>
      </c>
      <c r="N15" s="576">
        <v>236948.11754400001</v>
      </c>
      <c r="O15" s="576">
        <v>7964.7206759999999</v>
      </c>
      <c r="P15" s="576">
        <v>43475.387049999998</v>
      </c>
      <c r="Q15" s="576">
        <v>29743.705689999999</v>
      </c>
      <c r="R15" s="576">
        <v>13731.681359999999</v>
      </c>
      <c r="S15" s="576">
        <v>10600</v>
      </c>
      <c r="T15" s="576">
        <v>24800.965550000008</v>
      </c>
      <c r="U15" s="765">
        <v>170258.41164499999</v>
      </c>
      <c r="V15" s="909">
        <v>152693.70519899999</v>
      </c>
      <c r="W15" s="909">
        <v>17564.706446</v>
      </c>
      <c r="X15" s="576">
        <v>1511.5454029999999</v>
      </c>
      <c r="Y15" s="548">
        <v>1.7669316803710031</v>
      </c>
      <c r="Z15" s="548">
        <v>2.6831192115484948</v>
      </c>
      <c r="AA15" s="548">
        <v>1.1260321755155205</v>
      </c>
    </row>
    <row r="16" spans="1:27" ht="33" customHeight="1">
      <c r="A16" s="199">
        <v>7</v>
      </c>
      <c r="B16" s="202" t="s">
        <v>251</v>
      </c>
      <c r="C16" s="479">
        <v>308400</v>
      </c>
      <c r="D16" s="479">
        <v>46558</v>
      </c>
      <c r="E16" s="479">
        <v>239679</v>
      </c>
      <c r="F16" s="479">
        <v>5842</v>
      </c>
      <c r="G16" s="479">
        <v>16321</v>
      </c>
      <c r="H16" s="576">
        <v>457103.64836300007</v>
      </c>
      <c r="I16" s="576">
        <v>94222.108999000004</v>
      </c>
      <c r="J16" s="576">
        <v>11753.668</v>
      </c>
      <c r="K16" s="906">
        <v>69939.789999000001</v>
      </c>
      <c r="L16" s="576">
        <v>7334.1360000000004</v>
      </c>
      <c r="M16" s="576">
        <v>271968.23275600001</v>
      </c>
      <c r="N16" s="576">
        <v>156268.376296</v>
      </c>
      <c r="O16" s="576">
        <v>3455.7571189999999</v>
      </c>
      <c r="P16" s="576">
        <v>16698.657500000001</v>
      </c>
      <c r="Q16" s="576">
        <v>10093.593999999999</v>
      </c>
      <c r="R16" s="576">
        <v>6605.0635000000002</v>
      </c>
      <c r="S16" s="576">
        <v>0</v>
      </c>
      <c r="T16" s="576">
        <v>16847.068500000001</v>
      </c>
      <c r="U16" s="765">
        <v>56530.077347999999</v>
      </c>
      <c r="V16" s="909">
        <v>47789.452785000001</v>
      </c>
      <c r="W16" s="909">
        <v>8740.6245629999994</v>
      </c>
      <c r="X16" s="576">
        <v>837.50325999999995</v>
      </c>
      <c r="Y16" s="548">
        <v>1.4821778481290535</v>
      </c>
      <c r="Z16" s="548">
        <v>2.0237576570943769</v>
      </c>
      <c r="AA16" s="548">
        <v>1.1347186560190923</v>
      </c>
    </row>
    <row r="17" spans="1:27" ht="33" customHeight="1">
      <c r="A17" s="199">
        <v>8</v>
      </c>
      <c r="B17" s="202" t="s">
        <v>249</v>
      </c>
      <c r="C17" s="479">
        <v>452589</v>
      </c>
      <c r="D17" s="479">
        <v>18656</v>
      </c>
      <c r="E17" s="479">
        <v>408541</v>
      </c>
      <c r="F17" s="479">
        <v>8719</v>
      </c>
      <c r="G17" s="479">
        <v>16673</v>
      </c>
      <c r="H17" s="576">
        <v>976805.86352000001</v>
      </c>
      <c r="I17" s="576">
        <v>19669.58591200001</v>
      </c>
      <c r="J17" s="576">
        <v>2107.4530000000013</v>
      </c>
      <c r="K17" s="906">
        <v>4016.7649120000001</v>
      </c>
      <c r="L17" s="576">
        <v>2.59</v>
      </c>
      <c r="M17" s="576">
        <v>459256.743242</v>
      </c>
      <c r="N17" s="576">
        <v>311287.43019700004</v>
      </c>
      <c r="O17" s="576">
        <v>1448.5176799999999</v>
      </c>
      <c r="P17" s="576">
        <v>267604.43711100001</v>
      </c>
      <c r="Q17" s="576">
        <v>217723.95332599999</v>
      </c>
      <c r="R17" s="576">
        <v>49880.483785000004</v>
      </c>
      <c r="S17" s="576">
        <v>0</v>
      </c>
      <c r="T17" s="576">
        <v>37100.767888999981</v>
      </c>
      <c r="U17" s="765">
        <v>190723.88822399999</v>
      </c>
      <c r="V17" s="909">
        <v>188838.547788</v>
      </c>
      <c r="W17" s="909">
        <v>1885.340436</v>
      </c>
      <c r="X17" s="576">
        <v>2450.4411420000001</v>
      </c>
      <c r="Y17" s="548">
        <v>2.15826249316709</v>
      </c>
      <c r="Z17" s="548">
        <v>1.0543302911663812</v>
      </c>
      <c r="AA17" s="548">
        <v>1.1241386867952055</v>
      </c>
    </row>
    <row r="18" spans="1:27" ht="33" customHeight="1">
      <c r="A18" s="199">
        <v>9</v>
      </c>
      <c r="B18" s="202" t="s">
        <v>1873</v>
      </c>
      <c r="C18" s="479">
        <v>695663</v>
      </c>
      <c r="D18" s="479">
        <v>27178</v>
      </c>
      <c r="E18" s="479">
        <v>633117</v>
      </c>
      <c r="F18" s="479">
        <v>13475</v>
      </c>
      <c r="G18" s="479">
        <v>21893</v>
      </c>
      <c r="H18" s="576">
        <v>1167444.2624949999</v>
      </c>
      <c r="I18" s="576">
        <v>80754.796909000026</v>
      </c>
      <c r="J18" s="576">
        <v>23644.187799999996</v>
      </c>
      <c r="K18" s="906">
        <v>5456.3822289999998</v>
      </c>
      <c r="L18" s="576">
        <v>38.502000000000002</v>
      </c>
      <c r="M18" s="576">
        <v>675103.80322</v>
      </c>
      <c r="N18" s="576">
        <v>446933.34814099997</v>
      </c>
      <c r="O18" s="576">
        <v>5067.9723510000003</v>
      </c>
      <c r="P18" s="576">
        <v>160656.218207</v>
      </c>
      <c r="Q18" s="576">
        <v>132052.96854199999</v>
      </c>
      <c r="R18" s="576">
        <v>28603.249664999999</v>
      </c>
      <c r="S18" s="576">
        <v>550</v>
      </c>
      <c r="T18" s="576">
        <v>60529.244092999994</v>
      </c>
      <c r="U18" s="765">
        <v>180296.36058100002</v>
      </c>
      <c r="V18" s="909">
        <v>171135.705824</v>
      </c>
      <c r="W18" s="909">
        <v>9160.6547570000002</v>
      </c>
      <c r="X18" s="576">
        <v>9553.8394850000004</v>
      </c>
      <c r="Y18" s="548">
        <v>1.6781750107379578</v>
      </c>
      <c r="Z18" s="548">
        <v>2.9713296382736045</v>
      </c>
      <c r="AA18" s="548">
        <v>1.0663176051503909</v>
      </c>
    </row>
    <row r="19" spans="1:27" ht="33" customHeight="1">
      <c r="A19" s="199">
        <v>10</v>
      </c>
      <c r="B19" s="202" t="s">
        <v>252</v>
      </c>
      <c r="C19" s="479">
        <v>26128</v>
      </c>
      <c r="D19" s="479">
        <v>4283</v>
      </c>
      <c r="E19" s="479">
        <v>19332</v>
      </c>
      <c r="F19" s="479">
        <v>482</v>
      </c>
      <c r="G19" s="479">
        <v>2031</v>
      </c>
      <c r="H19" s="576">
        <v>69698.371512000012</v>
      </c>
      <c r="I19" s="576">
        <v>6270.0473199999979</v>
      </c>
      <c r="J19" s="576">
        <v>0</v>
      </c>
      <c r="K19" s="906"/>
      <c r="L19" s="576">
        <v>0</v>
      </c>
      <c r="M19" s="576">
        <v>21940.237283999999</v>
      </c>
      <c r="N19" s="576">
        <v>620.66600000000005</v>
      </c>
      <c r="O19" s="576">
        <v>90</v>
      </c>
      <c r="P19" s="576">
        <v>21289.705000000002</v>
      </c>
      <c r="Q19" s="576">
        <v>19372.36</v>
      </c>
      <c r="R19" s="576">
        <v>1917.345</v>
      </c>
      <c r="S19" s="576">
        <v>0</v>
      </c>
      <c r="T19" s="576">
        <v>20.260000000000002</v>
      </c>
      <c r="U19" s="765">
        <v>20178.121908000001</v>
      </c>
      <c r="V19" s="909">
        <v>20178.121908000001</v>
      </c>
      <c r="W19" s="909">
        <v>0</v>
      </c>
      <c r="X19" s="576">
        <v>0</v>
      </c>
      <c r="Y19" s="548">
        <v>2.667573924984691</v>
      </c>
      <c r="Z19" s="548">
        <v>1.4639382021947229</v>
      </c>
      <c r="AA19" s="548">
        <v>1.134918129733085</v>
      </c>
    </row>
    <row r="20" spans="1:27" ht="18.75" customHeight="1">
      <c r="A20" s="552"/>
      <c r="B20" s="536"/>
      <c r="C20" s="549"/>
      <c r="D20" s="549"/>
      <c r="E20" s="549"/>
      <c r="F20" s="549"/>
      <c r="G20" s="549"/>
      <c r="H20" s="563"/>
      <c r="I20" s="563"/>
      <c r="J20" s="563"/>
      <c r="K20" s="563"/>
      <c r="L20" s="563"/>
      <c r="M20" s="563"/>
      <c r="N20" s="563"/>
      <c r="O20" s="563"/>
      <c r="P20" s="563"/>
      <c r="Q20" s="563"/>
      <c r="R20" s="563"/>
      <c r="S20" s="563"/>
      <c r="T20" s="563"/>
      <c r="U20" s="563"/>
      <c r="V20" s="799"/>
      <c r="W20" s="799"/>
      <c r="X20" s="563"/>
      <c r="Y20" s="552"/>
      <c r="Z20" s="552"/>
      <c r="AA20" s="552"/>
    </row>
    <row r="21" spans="1:27" ht="29.25" hidden="1" customHeight="1">
      <c r="A21" s="552"/>
      <c r="B21" s="553"/>
      <c r="C21" s="549"/>
      <c r="D21" s="549"/>
      <c r="E21" s="549"/>
      <c r="F21" s="549"/>
      <c r="G21" s="549"/>
      <c r="H21" s="563">
        <v>6876409.6765729999</v>
      </c>
      <c r="I21" s="563"/>
      <c r="J21" s="563">
        <v>118777.967</v>
      </c>
      <c r="K21" s="563"/>
      <c r="L21" s="563"/>
      <c r="M21" s="563"/>
      <c r="N21" s="563"/>
      <c r="O21" s="615">
        <v>68547.305000000008</v>
      </c>
      <c r="P21" s="563"/>
      <c r="Q21" s="563"/>
      <c r="R21" s="563"/>
      <c r="S21" s="563"/>
      <c r="T21" s="563"/>
      <c r="U21" s="615">
        <v>1288060.0328549999</v>
      </c>
      <c r="V21" s="800"/>
      <c r="W21" s="800"/>
      <c r="X21" s="615">
        <v>103965</v>
      </c>
      <c r="Y21" s="552"/>
      <c r="Z21" s="552"/>
      <c r="AA21" s="552"/>
    </row>
    <row r="22" spans="1:27" ht="18.75" hidden="1" customHeight="1">
      <c r="A22" s="552"/>
      <c r="B22" s="529"/>
      <c r="C22" s="549"/>
      <c r="D22" s="549"/>
      <c r="E22" s="549"/>
      <c r="F22" s="549"/>
      <c r="G22" s="549"/>
      <c r="H22" s="563"/>
      <c r="I22" s="563"/>
      <c r="J22" s="615">
        <v>14715.691999999981</v>
      </c>
      <c r="K22" s="563"/>
      <c r="L22" s="563"/>
      <c r="M22" s="563"/>
      <c r="N22" s="563"/>
      <c r="O22" s="615">
        <v>4971.9422420000046</v>
      </c>
      <c r="P22" s="563"/>
      <c r="Q22" s="563"/>
      <c r="R22" s="563"/>
      <c r="S22" s="563"/>
      <c r="T22" s="563"/>
      <c r="U22" s="615">
        <v>-79416.7221789998</v>
      </c>
      <c r="V22" s="800"/>
      <c r="W22" s="800"/>
      <c r="X22" s="615">
        <v>-63970.449601999993</v>
      </c>
      <c r="Y22" s="552"/>
      <c r="Z22" s="552"/>
      <c r="AA22" s="552"/>
    </row>
    <row r="23" spans="1:27" ht="60.75" hidden="1" customHeight="1">
      <c r="A23" s="552"/>
      <c r="B23" s="529"/>
      <c r="C23" s="549"/>
      <c r="D23" s="549"/>
      <c r="E23" s="549"/>
      <c r="F23" s="549"/>
      <c r="G23" s="549"/>
      <c r="H23" s="563"/>
      <c r="I23" s="563"/>
      <c r="J23" s="563"/>
      <c r="K23" s="563"/>
      <c r="L23" s="563"/>
      <c r="M23" s="563"/>
      <c r="N23" s="563"/>
      <c r="O23" s="563"/>
      <c r="P23" s="563"/>
      <c r="Q23" s="563"/>
      <c r="R23" s="563"/>
      <c r="S23" s="616"/>
      <c r="T23" s="563"/>
      <c r="U23" s="563"/>
      <c r="V23" s="799"/>
      <c r="W23" s="799"/>
      <c r="X23" s="563"/>
      <c r="Y23" s="552"/>
      <c r="Z23" s="552"/>
      <c r="AA23" s="552"/>
    </row>
    <row r="24" spans="1:27" ht="18.75" customHeight="1">
      <c r="A24" s="552"/>
      <c r="B24" s="529"/>
      <c r="C24" s="549"/>
      <c r="D24" s="549"/>
      <c r="E24" s="549"/>
      <c r="F24" s="549"/>
      <c r="G24" s="549"/>
      <c r="H24" s="563"/>
      <c r="I24" s="563"/>
      <c r="J24" s="563"/>
      <c r="K24" s="563"/>
      <c r="L24" s="563"/>
      <c r="M24" s="563"/>
      <c r="N24" s="563"/>
      <c r="O24" s="563"/>
      <c r="P24" s="563"/>
      <c r="Q24" s="563"/>
      <c r="R24" s="563"/>
      <c r="S24" s="563"/>
      <c r="T24" s="563"/>
      <c r="U24" s="563"/>
      <c r="V24" s="799"/>
      <c r="W24" s="799"/>
      <c r="X24" s="563"/>
      <c r="Y24" s="552"/>
      <c r="Z24" s="552"/>
      <c r="AA24" s="552"/>
    </row>
    <row r="25" spans="1:27" ht="18.75" customHeight="1">
      <c r="A25" s="552"/>
      <c r="B25" s="529"/>
      <c r="C25" s="549"/>
      <c r="D25" s="549"/>
      <c r="E25" s="549"/>
      <c r="F25" s="549"/>
      <c r="G25" s="549"/>
      <c r="H25" s="563"/>
      <c r="I25" s="563"/>
      <c r="J25" s="563"/>
      <c r="K25" s="563"/>
      <c r="L25" s="563"/>
      <c r="M25" s="563"/>
      <c r="N25" s="563"/>
      <c r="O25" s="563"/>
      <c r="P25" s="563"/>
      <c r="Q25" s="563"/>
      <c r="R25" s="563"/>
      <c r="S25" s="563"/>
      <c r="T25" s="563"/>
      <c r="U25" s="563"/>
      <c r="V25" s="799"/>
      <c r="W25" s="799"/>
      <c r="X25" s="563"/>
      <c r="Y25" s="552"/>
      <c r="Z25" s="552"/>
      <c r="AA25" s="552"/>
    </row>
    <row r="26" spans="1:27" ht="18.75" customHeight="1">
      <c r="A26" s="552"/>
      <c r="B26" s="529"/>
      <c r="C26" s="549"/>
      <c r="D26" s="549"/>
      <c r="E26" s="549"/>
      <c r="F26" s="549"/>
      <c r="G26" s="549"/>
      <c r="H26" s="563"/>
      <c r="I26" s="563"/>
      <c r="J26" s="563"/>
      <c r="K26" s="563"/>
      <c r="L26" s="563"/>
      <c r="M26" s="563"/>
      <c r="N26" s="563"/>
      <c r="O26" s="563"/>
      <c r="P26" s="563"/>
      <c r="Q26" s="563"/>
      <c r="R26" s="563"/>
      <c r="S26" s="563"/>
      <c r="T26" s="563"/>
      <c r="U26" s="563"/>
      <c r="V26" s="799"/>
      <c r="W26" s="799"/>
      <c r="X26" s="563"/>
      <c r="Y26" s="552"/>
      <c r="Z26" s="552"/>
      <c r="AA26" s="552"/>
    </row>
    <row r="27" spans="1:27" ht="18.75" customHeight="1">
      <c r="A27" s="553"/>
    </row>
    <row r="28" spans="1:27" ht="18.75" customHeight="1">
      <c r="A28" s="529"/>
    </row>
    <row r="29" spans="1:27" ht="18.75" customHeight="1">
      <c r="A29" s="529"/>
    </row>
  </sheetData>
  <mergeCells count="30">
    <mergeCell ref="C6:C8"/>
    <mergeCell ref="Z6:Z8"/>
    <mergeCell ref="N7:O7"/>
    <mergeCell ref="C5:G5"/>
    <mergeCell ref="P6:R6"/>
    <mergeCell ref="U4:AA4"/>
    <mergeCell ref="H6:H8"/>
    <mergeCell ref="D6:D8"/>
    <mergeCell ref="I5:X5"/>
    <mergeCell ref="X6:X8"/>
    <mergeCell ref="A2:AA2"/>
    <mergeCell ref="A3:AA3"/>
    <mergeCell ref="I7:I8"/>
    <mergeCell ref="M7:M8"/>
    <mergeCell ref="U6:U8"/>
    <mergeCell ref="S6:S8"/>
    <mergeCell ref="P7:P8"/>
    <mergeCell ref="Y6:Y8"/>
    <mergeCell ref="G6:G8"/>
    <mergeCell ref="Y5:AA5"/>
    <mergeCell ref="A5:A8"/>
    <mergeCell ref="F6:F8"/>
    <mergeCell ref="B5:B8"/>
    <mergeCell ref="AA6:AA8"/>
    <mergeCell ref="Q7:R7"/>
    <mergeCell ref="T6:T8"/>
    <mergeCell ref="E6:E8"/>
    <mergeCell ref="I6:L6"/>
    <mergeCell ref="M6:O6"/>
    <mergeCell ref="J7:L7"/>
  </mergeCells>
  <pageMargins left="0.196850393700787" right="0.118110236220472" top="0.69685039400000004" bottom="0.196850393700787" header="0.31496062992126" footer="0.31496062992126"/>
  <pageSetup paperSize="8" scale="75" orientation="landscape"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O27"/>
  <sheetViews>
    <sheetView zoomScale="70" zoomScaleNormal="70" workbookViewId="0">
      <pane xSplit="7" ySplit="13" topLeftCell="H14" activePane="bottomRight" state="frozen"/>
      <selection pane="topRight" activeCell="H1" sqref="H1"/>
      <selection pane="bottomLeft" activeCell="A14" sqref="A14"/>
      <selection pane="bottomRight" activeCell="R17" sqref="R17"/>
    </sheetView>
  </sheetViews>
  <sheetFormatPr defaultRowHeight="15"/>
  <cols>
    <col min="1" max="1" width="3.625" style="329" customWidth="1"/>
    <col min="2" max="2" width="23.375" style="329" customWidth="1"/>
    <col min="3" max="3" width="11.875" style="329" customWidth="1"/>
    <col min="4" max="4" width="11.125" style="329" customWidth="1"/>
    <col min="5" max="5" width="9.125" style="329" bestFit="1" customWidth="1"/>
    <col min="6" max="6" width="7.875" style="329" customWidth="1"/>
    <col min="7" max="7" width="11" style="329" customWidth="1"/>
    <col min="8" max="8" width="9.75" style="329" customWidth="1"/>
    <col min="9" max="9" width="10.875" style="329" hidden="1" customWidth="1"/>
    <col min="10" max="10" width="9.125" style="329" bestFit="1" customWidth="1"/>
    <col min="11" max="11" width="8.625" style="329" customWidth="1"/>
    <col min="12" max="12" width="15.375" style="617" customWidth="1"/>
    <col min="13" max="13" width="14.125" style="618" customWidth="1"/>
    <col min="14" max="14" width="15.25" style="619" hidden="1" customWidth="1"/>
    <col min="15" max="15" width="20.375" style="619" hidden="1" customWidth="1"/>
    <col min="16" max="16" width="14.75" style="617" customWidth="1"/>
    <col min="17" max="17" width="7.625" style="617" customWidth="1"/>
    <col min="18" max="18" width="17.125" style="617" customWidth="1"/>
    <col min="19" max="19" width="14.375" style="905" customWidth="1"/>
    <col min="20" max="20" width="13.625" style="618" customWidth="1"/>
    <col min="21" max="21" width="12.125" style="618" customWidth="1"/>
    <col min="22" max="22" width="14.375" style="618" hidden="1" customWidth="1"/>
    <col min="23" max="23" width="14.875" style="618" customWidth="1"/>
    <col min="24" max="24" width="13" style="620" customWidth="1"/>
    <col min="25" max="25" width="12.125" style="620" customWidth="1"/>
    <col min="26" max="26" width="12.625" style="617" customWidth="1"/>
    <col min="27" max="27" width="12.75" style="617" customWidth="1"/>
    <col min="28" max="28" width="12.75" style="743" hidden="1" customWidth="1"/>
    <col min="29" max="30" width="12.75" style="617" customWidth="1"/>
    <col min="31" max="31" width="7" style="329" customWidth="1"/>
    <col min="32" max="32" width="8.625" style="329" customWidth="1"/>
    <col min="33" max="33" width="9.375" style="329" customWidth="1"/>
    <col min="34" max="34" width="0" style="329" hidden="1" customWidth="1"/>
    <col min="35" max="35" width="8.75" style="329" customWidth="1"/>
    <col min="36" max="36" width="7.625" style="329" hidden="1" customWidth="1"/>
    <col min="37" max="37" width="8.625" style="329" hidden="1" customWidth="1"/>
    <col min="38" max="38" width="8.125" style="329" hidden="1" customWidth="1"/>
    <col min="39" max="39" width="11.25" style="329" hidden="1" customWidth="1"/>
    <col min="40" max="40" width="9" style="329"/>
    <col min="41" max="41" width="13.25" style="329" customWidth="1"/>
    <col min="42" max="16384" width="9" style="329"/>
  </cols>
  <sheetData>
    <row r="1" spans="1:41">
      <c r="AE1" s="1147" t="s">
        <v>176</v>
      </c>
      <c r="AF1" s="1147"/>
      <c r="AG1" s="1147"/>
      <c r="AH1" s="1147"/>
      <c r="AI1" s="1147"/>
      <c r="AJ1" s="1147"/>
      <c r="AK1" s="1147"/>
      <c r="AL1" s="1147"/>
    </row>
    <row r="2" spans="1:41" ht="36.75" customHeight="1">
      <c r="A2" s="1067" t="s">
        <v>2408</v>
      </c>
      <c r="B2" s="1067"/>
      <c r="C2" s="1067"/>
      <c r="D2" s="1067"/>
      <c r="E2" s="1067"/>
      <c r="F2" s="1067"/>
      <c r="G2" s="1067"/>
      <c r="H2" s="1067"/>
      <c r="I2" s="1067"/>
      <c r="J2" s="1067"/>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1067"/>
      <c r="AL2" s="1067"/>
    </row>
    <row r="3" spans="1:41" ht="23.25" hidden="1" customHeight="1">
      <c r="A3" s="1139" t="s">
        <v>1636</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c r="AI3" s="1139"/>
      <c r="AJ3" s="1139"/>
      <c r="AK3" s="1139"/>
      <c r="AL3" s="1139"/>
    </row>
    <row r="4" spans="1:41" ht="34.5" customHeight="1">
      <c r="A4" s="1139" t="str">
        <f>+list!A21</f>
        <v>(Kèm theo Báo cáo số:             /BC-UBND ngày      tháng     năm 2024  của Ủy ban nhân dân tỉnh Quảng Trị)</v>
      </c>
      <c r="B4" s="1139"/>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1139"/>
      <c r="AH4" s="1139"/>
      <c r="AI4" s="1139"/>
      <c r="AJ4" s="1139"/>
      <c r="AK4" s="1139"/>
      <c r="AL4" s="1139"/>
    </row>
    <row r="5" spans="1:41">
      <c r="AE5" s="1146" t="s">
        <v>2</v>
      </c>
      <c r="AF5" s="1146"/>
      <c r="AG5" s="1146"/>
      <c r="AH5" s="1146"/>
      <c r="AI5" s="1146"/>
      <c r="AJ5" s="1146"/>
      <c r="AK5" s="1146"/>
      <c r="AL5" s="1146"/>
    </row>
    <row r="6" spans="1:41" ht="18.75" customHeight="1">
      <c r="A6" s="1128" t="s">
        <v>3</v>
      </c>
      <c r="B6" s="1128" t="s">
        <v>242</v>
      </c>
      <c r="C6" s="1128" t="s">
        <v>4</v>
      </c>
      <c r="D6" s="1128"/>
      <c r="E6" s="1128"/>
      <c r="F6" s="1128"/>
      <c r="G6" s="1128"/>
      <c r="H6" s="1128"/>
      <c r="I6" s="1128"/>
      <c r="J6" s="1128"/>
      <c r="K6" s="1128"/>
      <c r="L6" s="1140" t="s">
        <v>5</v>
      </c>
      <c r="M6" s="1141"/>
      <c r="N6" s="1141"/>
      <c r="O6" s="1141"/>
      <c r="P6" s="1141"/>
      <c r="Q6" s="1141"/>
      <c r="R6" s="1141"/>
      <c r="S6" s="1141"/>
      <c r="T6" s="1141"/>
      <c r="U6" s="1141"/>
      <c r="V6" s="1141"/>
      <c r="W6" s="1141"/>
      <c r="X6" s="1141"/>
      <c r="Y6" s="1141"/>
      <c r="Z6" s="1141"/>
      <c r="AA6" s="1141"/>
      <c r="AB6" s="1141"/>
      <c r="AC6" s="1141"/>
      <c r="AD6" s="1142"/>
      <c r="AE6" s="1128" t="s">
        <v>177</v>
      </c>
      <c r="AF6" s="1128"/>
      <c r="AG6" s="1128"/>
      <c r="AH6" s="1128"/>
      <c r="AI6" s="1128"/>
      <c r="AJ6" s="1128"/>
      <c r="AK6" s="1128"/>
      <c r="AL6" s="1128"/>
      <c r="AM6" s="690"/>
    </row>
    <row r="7" spans="1:41" ht="24" customHeight="1">
      <c r="A7" s="1128"/>
      <c r="B7" s="1128"/>
      <c r="C7" s="1128" t="s">
        <v>153</v>
      </c>
      <c r="D7" s="1128" t="s">
        <v>53</v>
      </c>
      <c r="E7" s="1128" t="s">
        <v>54</v>
      </c>
      <c r="F7" s="1128"/>
      <c r="G7" s="1128"/>
      <c r="H7" s="1128"/>
      <c r="I7" s="1128"/>
      <c r="J7" s="1128"/>
      <c r="K7" s="1128"/>
      <c r="L7" s="1136" t="s">
        <v>153</v>
      </c>
      <c r="M7" s="1129" t="s">
        <v>53</v>
      </c>
      <c r="N7" s="1130" t="s">
        <v>1916</v>
      </c>
      <c r="O7" s="1131"/>
      <c r="P7" s="1140" t="s">
        <v>54</v>
      </c>
      <c r="Q7" s="1141"/>
      <c r="R7" s="1141"/>
      <c r="S7" s="1141"/>
      <c r="T7" s="1141"/>
      <c r="U7" s="1141"/>
      <c r="V7" s="1141"/>
      <c r="W7" s="1141"/>
      <c r="X7" s="1141"/>
      <c r="Y7" s="1141"/>
      <c r="Z7" s="1141"/>
      <c r="AA7" s="1141"/>
      <c r="AB7" s="1141"/>
      <c r="AC7" s="1141"/>
      <c r="AD7" s="1142"/>
      <c r="AE7" s="1128" t="s">
        <v>153</v>
      </c>
      <c r="AF7" s="1128" t="s">
        <v>53</v>
      </c>
      <c r="AG7" s="1128" t="s">
        <v>54</v>
      </c>
      <c r="AH7" s="1128"/>
      <c r="AI7" s="1128"/>
      <c r="AJ7" s="1128"/>
      <c r="AK7" s="1128"/>
      <c r="AL7" s="1128"/>
      <c r="AM7" s="690"/>
    </row>
    <row r="8" spans="1:41" ht="15" customHeight="1">
      <c r="A8" s="1128"/>
      <c r="B8" s="1128"/>
      <c r="C8" s="1128"/>
      <c r="D8" s="1128"/>
      <c r="E8" s="1128" t="s">
        <v>153</v>
      </c>
      <c r="F8" s="1128" t="s">
        <v>178</v>
      </c>
      <c r="G8" s="1128"/>
      <c r="H8" s="1128" t="s">
        <v>179</v>
      </c>
      <c r="I8" s="1137" t="s">
        <v>1872</v>
      </c>
      <c r="J8" s="1128" t="s">
        <v>2238</v>
      </c>
      <c r="K8" s="1128" t="s">
        <v>181</v>
      </c>
      <c r="L8" s="1136"/>
      <c r="M8" s="1129"/>
      <c r="N8" s="1132"/>
      <c r="O8" s="1133"/>
      <c r="P8" s="1136" t="s">
        <v>153</v>
      </c>
      <c r="Q8" s="1136" t="s">
        <v>178</v>
      </c>
      <c r="R8" s="1136"/>
      <c r="S8" s="1121" t="s">
        <v>1900</v>
      </c>
      <c r="T8" s="1129" t="s">
        <v>178</v>
      </c>
      <c r="U8" s="1129"/>
      <c r="V8" s="975"/>
      <c r="W8" s="1121" t="s">
        <v>1901</v>
      </c>
      <c r="X8" s="1129" t="s">
        <v>178</v>
      </c>
      <c r="Y8" s="1129"/>
      <c r="Z8" s="1136" t="s">
        <v>181</v>
      </c>
      <c r="AA8" s="1143" t="s">
        <v>178</v>
      </c>
      <c r="AB8" s="1144"/>
      <c r="AC8" s="1144"/>
      <c r="AD8" s="1145"/>
      <c r="AE8" s="1128"/>
      <c r="AF8" s="1128"/>
      <c r="AG8" s="1128" t="s">
        <v>153</v>
      </c>
      <c r="AH8" s="1128" t="s">
        <v>178</v>
      </c>
      <c r="AI8" s="1128"/>
      <c r="AJ8" s="1128" t="s">
        <v>179</v>
      </c>
      <c r="AK8" s="1128" t="s">
        <v>180</v>
      </c>
      <c r="AL8" s="1128" t="s">
        <v>181</v>
      </c>
    </row>
    <row r="9" spans="1:41" ht="167.25" customHeight="1">
      <c r="A9" s="1128"/>
      <c r="B9" s="1128"/>
      <c r="C9" s="1128"/>
      <c r="D9" s="1128"/>
      <c r="E9" s="1128"/>
      <c r="F9" s="504" t="s">
        <v>182</v>
      </c>
      <c r="G9" s="504" t="s">
        <v>183</v>
      </c>
      <c r="H9" s="1128"/>
      <c r="I9" s="1138"/>
      <c r="J9" s="1128"/>
      <c r="K9" s="1128"/>
      <c r="L9" s="1136"/>
      <c r="M9" s="1129"/>
      <c r="N9" s="1134"/>
      <c r="O9" s="1135"/>
      <c r="P9" s="1136"/>
      <c r="Q9" s="621" t="s">
        <v>182</v>
      </c>
      <c r="R9" s="621" t="s">
        <v>183</v>
      </c>
      <c r="S9" s="1123"/>
      <c r="T9" s="584" t="s">
        <v>179</v>
      </c>
      <c r="U9" s="584" t="s">
        <v>180</v>
      </c>
      <c r="V9" s="976" t="s">
        <v>2682</v>
      </c>
      <c r="W9" s="1123"/>
      <c r="X9" s="584" t="s">
        <v>179</v>
      </c>
      <c r="Y9" s="584" t="s">
        <v>180</v>
      </c>
      <c r="Z9" s="1136"/>
      <c r="AA9" s="693" t="s">
        <v>2242</v>
      </c>
      <c r="AB9" s="744" t="s">
        <v>2683</v>
      </c>
      <c r="AC9" s="584" t="s">
        <v>2239</v>
      </c>
      <c r="AD9" s="584" t="s">
        <v>2240</v>
      </c>
      <c r="AE9" s="1128"/>
      <c r="AF9" s="1128"/>
      <c r="AG9" s="1128"/>
      <c r="AH9" s="652" t="s">
        <v>182</v>
      </c>
      <c r="AI9" s="652" t="s">
        <v>183</v>
      </c>
      <c r="AJ9" s="1128"/>
      <c r="AK9" s="1128"/>
      <c r="AL9" s="1128"/>
    </row>
    <row r="10" spans="1:41" s="982" customFormat="1" ht="23.25" customHeight="1">
      <c r="A10" s="977"/>
      <c r="B10" s="977" t="s">
        <v>9</v>
      </c>
      <c r="C10" s="977">
        <v>1</v>
      </c>
      <c r="D10" s="977">
        <v>2</v>
      </c>
      <c r="E10" s="977">
        <v>3</v>
      </c>
      <c r="F10" s="977">
        <v>4</v>
      </c>
      <c r="G10" s="977">
        <v>5</v>
      </c>
      <c r="H10" s="977">
        <v>6</v>
      </c>
      <c r="I10" s="977">
        <v>7</v>
      </c>
      <c r="J10" s="977">
        <v>8</v>
      </c>
      <c r="K10" s="977">
        <v>9</v>
      </c>
      <c r="L10" s="977">
        <v>10</v>
      </c>
      <c r="M10" s="977">
        <v>11</v>
      </c>
      <c r="N10" s="978"/>
      <c r="O10" s="978"/>
      <c r="P10" s="977" t="s">
        <v>2684</v>
      </c>
      <c r="Q10" s="977">
        <v>13</v>
      </c>
      <c r="R10" s="977">
        <v>14</v>
      </c>
      <c r="S10" s="979" t="s">
        <v>2685</v>
      </c>
      <c r="T10" s="979">
        <v>16</v>
      </c>
      <c r="U10" s="979">
        <v>17</v>
      </c>
      <c r="V10" s="983"/>
      <c r="W10" s="980" t="s">
        <v>2686</v>
      </c>
      <c r="X10" s="979">
        <v>19</v>
      </c>
      <c r="Y10" s="980">
        <v>20</v>
      </c>
      <c r="Z10" s="979" t="s">
        <v>2687</v>
      </c>
      <c r="AA10" s="980">
        <v>22</v>
      </c>
      <c r="AB10" s="981"/>
      <c r="AC10" s="977">
        <v>23</v>
      </c>
      <c r="AD10" s="977">
        <v>24</v>
      </c>
      <c r="AE10" s="977">
        <v>25</v>
      </c>
      <c r="AF10" s="977">
        <v>26</v>
      </c>
      <c r="AG10" s="977">
        <v>27</v>
      </c>
      <c r="AH10" s="977"/>
      <c r="AI10" s="977">
        <v>28</v>
      </c>
      <c r="AJ10" s="977"/>
      <c r="AK10" s="977"/>
      <c r="AL10" s="977"/>
    </row>
    <row r="11" spans="1:41" s="334" customFormat="1" ht="23.25" hidden="1" customHeight="1">
      <c r="A11" s="510"/>
      <c r="B11" s="510"/>
      <c r="C11" s="510"/>
      <c r="D11" s="510"/>
      <c r="E11" s="510"/>
      <c r="F11" s="510"/>
      <c r="G11" s="510"/>
      <c r="H11" s="510"/>
      <c r="I11" s="510"/>
      <c r="J11" s="510"/>
      <c r="K11" s="510"/>
      <c r="L11" s="622"/>
      <c r="M11" s="613"/>
      <c r="N11" s="625"/>
      <c r="O11" s="625"/>
      <c r="P11" s="626">
        <f>+P12-P13</f>
        <v>-25598.801937999902</v>
      </c>
      <c r="Q11" s="626"/>
      <c r="R11" s="622"/>
      <c r="S11" s="624"/>
      <c r="T11" s="624"/>
      <c r="U11" s="623"/>
      <c r="V11" s="741"/>
      <c r="W11" s="623"/>
      <c r="X11" s="624"/>
      <c r="Y11" s="624"/>
      <c r="Z11" s="622"/>
      <c r="AA11" s="622"/>
      <c r="AB11" s="745"/>
      <c r="AC11" s="622"/>
      <c r="AD11" s="622"/>
      <c r="AE11" s="510"/>
      <c r="AF11" s="510"/>
      <c r="AG11" s="510"/>
      <c r="AH11" s="510"/>
      <c r="AI11" s="510"/>
      <c r="AJ11" s="510"/>
      <c r="AK11" s="510"/>
      <c r="AL11" s="510"/>
    </row>
    <row r="12" spans="1:41" s="334" customFormat="1" ht="23.25" hidden="1" customHeight="1">
      <c r="A12" s="510"/>
      <c r="B12" s="510"/>
      <c r="C12" s="510"/>
      <c r="D12" s="510"/>
      <c r="E12" s="510"/>
      <c r="F12" s="510"/>
      <c r="G12" s="510"/>
      <c r="H12" s="510"/>
      <c r="I12" s="510"/>
      <c r="J12" s="510"/>
      <c r="K12" s="510"/>
      <c r="L12" s="622"/>
      <c r="M12" s="613">
        <v>2559087.9070000001</v>
      </c>
      <c r="N12" s="625"/>
      <c r="O12" s="625"/>
      <c r="P12" s="627">
        <v>1255718.453</v>
      </c>
      <c r="Q12" s="626"/>
      <c r="R12" s="622"/>
      <c r="S12" s="624"/>
      <c r="T12" s="624"/>
      <c r="U12" s="623"/>
      <c r="V12" s="741"/>
      <c r="W12" s="623"/>
      <c r="X12" s="624"/>
      <c r="Y12" s="624"/>
      <c r="Z12" s="622"/>
      <c r="AA12" s="622"/>
      <c r="AB12" s="745"/>
      <c r="AC12" s="622"/>
      <c r="AD12" s="622"/>
      <c r="AE12" s="510"/>
      <c r="AF12" s="510"/>
      <c r="AG12" s="510"/>
      <c r="AH12" s="510"/>
      <c r="AI12" s="510"/>
      <c r="AJ12" s="510"/>
      <c r="AK12" s="510"/>
      <c r="AL12" s="510"/>
    </row>
    <row r="13" spans="1:41" s="354" customFormat="1" ht="38.25" customHeight="1">
      <c r="A13" s="350"/>
      <c r="B13" s="500" t="s">
        <v>154</v>
      </c>
      <c r="C13" s="351">
        <f t="shared" ref="C13:J13" si="0">SUM(C14:C23)</f>
        <v>2779049</v>
      </c>
      <c r="D13" s="351">
        <f t="shared" si="0"/>
        <v>2610086</v>
      </c>
      <c r="E13" s="351">
        <f t="shared" si="0"/>
        <v>168963</v>
      </c>
      <c r="F13" s="351">
        <f t="shared" si="0"/>
        <v>0</v>
      </c>
      <c r="G13" s="351">
        <f t="shared" si="0"/>
        <v>168963</v>
      </c>
      <c r="H13" s="351">
        <f t="shared" si="0"/>
        <v>0</v>
      </c>
      <c r="I13" s="351">
        <f t="shared" si="0"/>
        <v>0</v>
      </c>
      <c r="J13" s="351">
        <f t="shared" si="0"/>
        <v>168963</v>
      </c>
      <c r="K13" s="351"/>
      <c r="L13" s="593">
        <f>SUM(L14:L23)+0.001</f>
        <v>3891403.255938</v>
      </c>
      <c r="M13" s="628">
        <f>SUM(M14:M23)</f>
        <v>2610086</v>
      </c>
      <c r="N13" s="629">
        <f>SUM(N14:N23)</f>
        <v>1281317.2549379999</v>
      </c>
      <c r="O13" s="629">
        <f>SUM(O14:O23)</f>
        <v>1281317.2549379999</v>
      </c>
      <c r="P13" s="593">
        <f>SUM(P14:P23)</f>
        <v>1281317.2549379999</v>
      </c>
      <c r="Q13" s="593"/>
      <c r="R13" s="593">
        <f t="shared" ref="R13:W13" si="1">SUM(R14:R23)</f>
        <v>1281317.2549379999</v>
      </c>
      <c r="S13" s="614">
        <f t="shared" si="1"/>
        <v>165954.451696</v>
      </c>
      <c r="T13" s="614">
        <f>SUM(T14:T23)</f>
        <v>48789.292999999998</v>
      </c>
      <c r="U13" s="628">
        <f t="shared" si="1"/>
        <v>117165.158696</v>
      </c>
      <c r="V13" s="740">
        <f t="shared" si="1"/>
        <v>1115362.8032419998</v>
      </c>
      <c r="W13" s="628">
        <f t="shared" si="1"/>
        <v>265005.42074199999</v>
      </c>
      <c r="X13" s="614">
        <f>SUM(X14:X23)</f>
        <v>25015.883999999998</v>
      </c>
      <c r="Y13" s="614">
        <f t="shared" ref="Y13:AD13" si="2">SUM(Y14:Y23)</f>
        <v>239989.53674199997</v>
      </c>
      <c r="Z13" s="593">
        <f>SUM(Z14:Z23)</f>
        <v>771448.31530000002</v>
      </c>
      <c r="AA13" s="593">
        <f t="shared" si="2"/>
        <v>78909.06719999999</v>
      </c>
      <c r="AB13" s="746">
        <f t="shared" si="2"/>
        <v>644377.70115800004</v>
      </c>
      <c r="AC13" s="628">
        <f t="shared" si="2"/>
        <v>565468.63395799999</v>
      </c>
      <c r="AD13" s="593">
        <f t="shared" si="2"/>
        <v>127070.61414200001</v>
      </c>
      <c r="AE13" s="505">
        <f>L13/C13</f>
        <v>1.4002643551581855</v>
      </c>
      <c r="AF13" s="505">
        <f>M13/D13</f>
        <v>1</v>
      </c>
      <c r="AG13" s="505">
        <f>P13/E13</f>
        <v>7.5834191801637036</v>
      </c>
      <c r="AH13" s="505"/>
      <c r="AI13" s="505">
        <f>R13/G13</f>
        <v>7.5834191801637036</v>
      </c>
      <c r="AJ13" s="505" t="e">
        <f>#REF!/H13</f>
        <v>#REF!</v>
      </c>
      <c r="AK13" s="505" t="e">
        <f>S13/I13</f>
        <v>#DIV/0!</v>
      </c>
      <c r="AL13" s="350"/>
      <c r="AO13" s="357">
        <f>+Z13+AA13</f>
        <v>850357.38250000007</v>
      </c>
    </row>
    <row r="14" spans="1:41" s="330" customFormat="1" ht="38.25" customHeight="1">
      <c r="A14" s="501">
        <v>1</v>
      </c>
      <c r="B14" s="501" t="s">
        <v>243</v>
      </c>
      <c r="C14" s="332">
        <f t="shared" ref="C14:C23" si="3">D14+E14</f>
        <v>11828</v>
      </c>
      <c r="D14" s="332">
        <v>0</v>
      </c>
      <c r="E14" s="332">
        <f>+G14</f>
        <v>11828</v>
      </c>
      <c r="F14" s="332"/>
      <c r="G14" s="332">
        <f>J14+I14</f>
        <v>11828</v>
      </c>
      <c r="H14" s="332"/>
      <c r="I14" s="332"/>
      <c r="J14" s="332">
        <v>11828</v>
      </c>
      <c r="K14" s="332"/>
      <c r="L14" s="594">
        <f>M14+P14</f>
        <v>76478.512000000017</v>
      </c>
      <c r="M14" s="630">
        <f t="shared" ref="M14:M23" si="4">+D14+I14</f>
        <v>0</v>
      </c>
      <c r="N14" s="631">
        <f>+V14+S14</f>
        <v>76478.512000000002</v>
      </c>
      <c r="O14" s="631">
        <f>+'60'!F9</f>
        <v>76478.512000000002</v>
      </c>
      <c r="P14" s="594">
        <f>+R14</f>
        <v>76478.512000000017</v>
      </c>
      <c r="Q14" s="594"/>
      <c r="R14" s="594">
        <f>+S14+X14+Y14+Z14+AA14</f>
        <v>76478.512000000017</v>
      </c>
      <c r="S14" s="632">
        <v>10255.624</v>
      </c>
      <c r="T14" s="632"/>
      <c r="U14" s="630">
        <f>+S14-T14</f>
        <v>10255.624</v>
      </c>
      <c r="V14" s="742">
        <f>+AO14-S14</f>
        <v>66222.888000000006</v>
      </c>
      <c r="W14" s="630">
        <f>+N14-S14-Z14-AA14</f>
        <v>64745.265000000007</v>
      </c>
      <c r="X14" s="632"/>
      <c r="Y14" s="632">
        <f>+W14-X14</f>
        <v>64745.265000000007</v>
      </c>
      <c r="Z14" s="594">
        <f>+AA14+AC14+AD14</f>
        <v>1477.623</v>
      </c>
      <c r="AA14" s="594">
        <f>+'61'!AR70</f>
        <v>0</v>
      </c>
      <c r="AB14" s="747">
        <f>+'61'!AF70</f>
        <v>0</v>
      </c>
      <c r="AC14" s="594">
        <f>+AB14-AA14</f>
        <v>0</v>
      </c>
      <c r="AD14" s="594">
        <f>'61'!AG70</f>
        <v>1477.623</v>
      </c>
      <c r="AE14" s="506">
        <f t="shared" ref="AE14:AE23" si="5">L14/C14</f>
        <v>6.4658870476834647</v>
      </c>
      <c r="AF14" s="506"/>
      <c r="AG14" s="506">
        <f t="shared" ref="AG14:AG23" si="6">+P14/J14</f>
        <v>6.4658870476834647</v>
      </c>
      <c r="AH14" s="350"/>
      <c r="AI14" s="506">
        <f>+AG14</f>
        <v>6.4658870476834647</v>
      </c>
      <c r="AJ14" s="355"/>
      <c r="AK14" s="506"/>
      <c r="AL14" s="350"/>
      <c r="AN14" s="513"/>
      <c r="AO14" s="513">
        <v>76478.512000000002</v>
      </c>
    </row>
    <row r="15" spans="1:41" s="330" customFormat="1" ht="38.25" customHeight="1">
      <c r="A15" s="501">
        <v>2</v>
      </c>
      <c r="B15" s="501" t="s">
        <v>244</v>
      </c>
      <c r="C15" s="332">
        <f t="shared" si="3"/>
        <v>98026</v>
      </c>
      <c r="D15" s="332">
        <v>87335</v>
      </c>
      <c r="E15" s="332">
        <f t="shared" ref="E15:E23" si="7">+G15</f>
        <v>10691</v>
      </c>
      <c r="F15" s="332"/>
      <c r="G15" s="332">
        <f t="shared" ref="G15:G23" si="8">J15+I15</f>
        <v>10691</v>
      </c>
      <c r="H15" s="332"/>
      <c r="I15" s="332"/>
      <c r="J15" s="332">
        <v>10691</v>
      </c>
      <c r="K15" s="332"/>
      <c r="L15" s="594">
        <f>M15+P15</f>
        <v>108879.72294200001</v>
      </c>
      <c r="M15" s="630">
        <f t="shared" si="4"/>
        <v>87335</v>
      </c>
      <c r="N15" s="631">
        <f t="shared" ref="N15:N22" si="9">+V15+S15</f>
        <v>21544.722942</v>
      </c>
      <c r="O15" s="631">
        <f>+'60'!F10</f>
        <v>21544.722942</v>
      </c>
      <c r="P15" s="594">
        <f>+R15</f>
        <v>21544.722942000004</v>
      </c>
      <c r="Q15" s="594"/>
      <c r="R15" s="594">
        <f t="shared" ref="R15:R22" si="10">+S15+X15+Y15+Z15+AA15</f>
        <v>21544.722942000004</v>
      </c>
      <c r="S15" s="632">
        <v>10691</v>
      </c>
      <c r="T15" s="632"/>
      <c r="U15" s="630">
        <f t="shared" ref="U15:U23" si="11">+S15-T15</f>
        <v>10691</v>
      </c>
      <c r="V15" s="742">
        <f t="shared" ref="V15:V23" si="12">+AO15-S15</f>
        <v>10853.722942</v>
      </c>
      <c r="W15" s="630">
        <f t="shared" ref="W15:W23" si="13">+N15-S15-Z15-AA15</f>
        <v>8775.1704420000005</v>
      </c>
      <c r="X15" s="632"/>
      <c r="Y15" s="632">
        <f t="shared" ref="Y15:Y22" si="14">+W15-X15</f>
        <v>8775.1704420000005</v>
      </c>
      <c r="Z15" s="594">
        <f>+AA15+AC15+AD15</f>
        <v>2078.5525000000002</v>
      </c>
      <c r="AA15" s="594">
        <f>+'61'!AR71</f>
        <v>0</v>
      </c>
      <c r="AB15" s="747">
        <f>+'61'!AF71</f>
        <v>295.80650000000003</v>
      </c>
      <c r="AC15" s="594">
        <f>+AB15-AA15</f>
        <v>295.80650000000003</v>
      </c>
      <c r="AD15" s="594">
        <f>'61'!AG71</f>
        <v>1782.7460000000001</v>
      </c>
      <c r="AE15" s="506">
        <f t="shared" si="5"/>
        <v>1.1107228994552467</v>
      </c>
      <c r="AF15" s="506">
        <f t="shared" ref="AF15:AF23" si="15">+M15/(D15+I15)</f>
        <v>1</v>
      </c>
      <c r="AG15" s="506">
        <f t="shared" si="6"/>
        <v>2.0152205539238617</v>
      </c>
      <c r="AH15" s="350"/>
      <c r="AI15" s="506">
        <f t="shared" ref="AI15:AI23" si="16">+AG15</f>
        <v>2.0152205539238617</v>
      </c>
      <c r="AJ15" s="355"/>
      <c r="AK15" s="506"/>
      <c r="AL15" s="350"/>
      <c r="AN15" s="513"/>
      <c r="AO15" s="330">
        <v>21544.722942</v>
      </c>
    </row>
    <row r="16" spans="1:41" s="330" customFormat="1" ht="38.25" customHeight="1">
      <c r="A16" s="501">
        <v>3</v>
      </c>
      <c r="B16" s="501" t="s">
        <v>247</v>
      </c>
      <c r="C16" s="332">
        <f t="shared" si="3"/>
        <v>349351</v>
      </c>
      <c r="D16" s="332">
        <v>325814</v>
      </c>
      <c r="E16" s="332">
        <f t="shared" si="7"/>
        <v>23537</v>
      </c>
      <c r="F16" s="332"/>
      <c r="G16" s="332">
        <f t="shared" si="8"/>
        <v>23537</v>
      </c>
      <c r="H16" s="332"/>
      <c r="I16" s="332"/>
      <c r="J16" s="332">
        <v>23537</v>
      </c>
      <c r="K16" s="332"/>
      <c r="L16" s="594">
        <f t="shared" ref="L16:L22" si="17">M16+P16</f>
        <v>489853.65599999996</v>
      </c>
      <c r="M16" s="630">
        <f t="shared" si="4"/>
        <v>325814</v>
      </c>
      <c r="N16" s="631">
        <f t="shared" si="9"/>
        <v>164039.65599999999</v>
      </c>
      <c r="O16" s="631">
        <f>+'60'!F11</f>
        <v>164039.65599999999</v>
      </c>
      <c r="P16" s="594">
        <f t="shared" ref="P16:P21" si="18">+R16</f>
        <v>164039.65599999996</v>
      </c>
      <c r="Q16" s="594"/>
      <c r="R16" s="594">
        <f t="shared" si="10"/>
        <v>164039.65599999996</v>
      </c>
      <c r="S16" s="632">
        <v>23537</v>
      </c>
      <c r="T16" s="632">
        <v>12540</v>
      </c>
      <c r="U16" s="630">
        <f>+S16-T16</f>
        <v>10997</v>
      </c>
      <c r="V16" s="742">
        <f t="shared" si="12"/>
        <v>140502.65599999999</v>
      </c>
      <c r="W16" s="630">
        <f t="shared" si="13"/>
        <v>36572.390599999984</v>
      </c>
      <c r="X16" s="632">
        <v>13865.884</v>
      </c>
      <c r="Y16" s="632">
        <f t="shared" si="14"/>
        <v>22706.506599999986</v>
      </c>
      <c r="Z16" s="594">
        <f t="shared" ref="Z16:Z21" si="19">+AA16+AC16+AD16</f>
        <v>86766.0524</v>
      </c>
      <c r="AA16" s="594">
        <f>+'61'!AR72</f>
        <v>17164.213</v>
      </c>
      <c r="AB16" s="747">
        <f>+'61'!AF72</f>
        <v>82814.706000000006</v>
      </c>
      <c r="AC16" s="594">
        <f>+AB16-AA16</f>
        <v>65650.493000000002</v>
      </c>
      <c r="AD16" s="594">
        <f>'61'!AG72</f>
        <v>3951.3463999999994</v>
      </c>
      <c r="AE16" s="506">
        <f t="shared" si="5"/>
        <v>1.4021819201891506</v>
      </c>
      <c r="AF16" s="506">
        <f t="shared" si="15"/>
        <v>1</v>
      </c>
      <c r="AG16" s="506">
        <f t="shared" si="6"/>
        <v>6.9694377363300317</v>
      </c>
      <c r="AH16" s="350"/>
      <c r="AI16" s="506">
        <f t="shared" si="16"/>
        <v>6.9694377363300317</v>
      </c>
      <c r="AJ16" s="355"/>
      <c r="AK16" s="506"/>
      <c r="AL16" s="350"/>
      <c r="AN16" s="513"/>
      <c r="AO16" s="330">
        <v>164039.65599999999</v>
      </c>
    </row>
    <row r="17" spans="1:41" s="330" customFormat="1" ht="38.25" customHeight="1">
      <c r="A17" s="501">
        <v>4</v>
      </c>
      <c r="B17" s="501" t="s">
        <v>248</v>
      </c>
      <c r="C17" s="332">
        <f t="shared" si="3"/>
        <v>388754</v>
      </c>
      <c r="D17" s="332">
        <v>368157</v>
      </c>
      <c r="E17" s="332">
        <f t="shared" si="7"/>
        <v>20597</v>
      </c>
      <c r="F17" s="332"/>
      <c r="G17" s="332">
        <f t="shared" si="8"/>
        <v>20597</v>
      </c>
      <c r="H17" s="332"/>
      <c r="I17" s="332"/>
      <c r="J17" s="332">
        <v>20597</v>
      </c>
      <c r="K17" s="332"/>
      <c r="L17" s="594">
        <f>M17+P17</f>
        <v>493470.516</v>
      </c>
      <c r="M17" s="630">
        <f t="shared" si="4"/>
        <v>368157</v>
      </c>
      <c r="N17" s="631">
        <f t="shared" si="9"/>
        <v>125313.516</v>
      </c>
      <c r="O17" s="631">
        <f>+'60'!F12</f>
        <v>125313.516</v>
      </c>
      <c r="P17" s="594">
        <f t="shared" si="18"/>
        <v>125313.51600000002</v>
      </c>
      <c r="Q17" s="594"/>
      <c r="R17" s="594">
        <f t="shared" si="10"/>
        <v>125313.51600000002</v>
      </c>
      <c r="S17" s="632">
        <f>20364.71-455.09</f>
        <v>19909.62</v>
      </c>
      <c r="T17" s="632">
        <v>13767.71</v>
      </c>
      <c r="U17" s="630">
        <f t="shared" si="11"/>
        <v>6141.91</v>
      </c>
      <c r="V17" s="742">
        <f t="shared" si="12"/>
        <v>105403.89600000001</v>
      </c>
      <c r="W17" s="630">
        <f t="shared" si="13"/>
        <v>8.6800000644871034E-4</v>
      </c>
      <c r="X17" s="632"/>
      <c r="Y17" s="632">
        <f>+W17-X17</f>
        <v>8.6800000644871034E-4</v>
      </c>
      <c r="Z17" s="594">
        <f t="shared" si="19"/>
        <v>85115.432132000002</v>
      </c>
      <c r="AA17" s="594">
        <f>+'61'!AR73</f>
        <v>20288.463</v>
      </c>
      <c r="AB17" s="747">
        <f>+'61'!AF73</f>
        <v>80967.806899999996</v>
      </c>
      <c r="AC17" s="594">
        <f t="shared" ref="AC17:AC22" si="20">+AB17-AA17</f>
        <v>60679.343899999993</v>
      </c>
      <c r="AD17" s="594">
        <f>'61'!AG73</f>
        <v>4147.6252320000003</v>
      </c>
      <c r="AE17" s="506">
        <f t="shared" si="5"/>
        <v>1.2693644721340487</v>
      </c>
      <c r="AF17" s="506">
        <f t="shared" si="15"/>
        <v>1</v>
      </c>
      <c r="AG17" s="506">
        <f t="shared" si="6"/>
        <v>6.0840664174394341</v>
      </c>
      <c r="AH17" s="350"/>
      <c r="AI17" s="506">
        <f t="shared" si="16"/>
        <v>6.0840664174394341</v>
      </c>
      <c r="AJ17" s="355"/>
      <c r="AK17" s="506"/>
      <c r="AL17" s="350"/>
      <c r="AN17" s="513"/>
      <c r="AO17" s="330">
        <v>125313.516</v>
      </c>
    </row>
    <row r="18" spans="1:41" s="330" customFormat="1" ht="38.25" customHeight="1">
      <c r="A18" s="501">
        <v>5</v>
      </c>
      <c r="B18" s="501" t="s">
        <v>246</v>
      </c>
      <c r="C18" s="332">
        <f t="shared" si="3"/>
        <v>341006</v>
      </c>
      <c r="D18" s="332">
        <v>320647</v>
      </c>
      <c r="E18" s="332">
        <f t="shared" si="7"/>
        <v>20359</v>
      </c>
      <c r="F18" s="332"/>
      <c r="G18" s="332">
        <f t="shared" si="8"/>
        <v>20359</v>
      </c>
      <c r="H18" s="332"/>
      <c r="I18" s="332"/>
      <c r="J18" s="332">
        <v>20359</v>
      </c>
      <c r="K18" s="332"/>
      <c r="L18" s="594">
        <f t="shared" si="17"/>
        <v>429227.06599999999</v>
      </c>
      <c r="M18" s="630">
        <f t="shared" si="4"/>
        <v>320647</v>
      </c>
      <c r="N18" s="631">
        <f t="shared" si="9"/>
        <v>108580.06600000001</v>
      </c>
      <c r="O18" s="631">
        <f>+'60'!F13</f>
        <v>108580.06600000001</v>
      </c>
      <c r="P18" s="594">
        <f t="shared" si="18"/>
        <v>108580.06600000001</v>
      </c>
      <c r="Q18" s="594"/>
      <c r="R18" s="594">
        <f t="shared" si="10"/>
        <v>108580.06600000001</v>
      </c>
      <c r="S18" s="632">
        <v>20117</v>
      </c>
      <c r="T18" s="632">
        <v>4481.5830000000005</v>
      </c>
      <c r="U18" s="630">
        <f t="shared" si="11"/>
        <v>15635.416999999999</v>
      </c>
      <c r="V18" s="742">
        <f>+AO18-S18</f>
        <v>88463.066000000006</v>
      </c>
      <c r="W18" s="630">
        <f t="shared" si="13"/>
        <v>94.892799999999625</v>
      </c>
      <c r="X18" s="632">
        <v>0</v>
      </c>
      <c r="Y18" s="632">
        <f>+W18-X18</f>
        <v>94.892799999999625</v>
      </c>
      <c r="Z18" s="594">
        <f t="shared" si="19"/>
        <v>73323.696200000006</v>
      </c>
      <c r="AA18" s="594">
        <f>+'61'!AR74</f>
        <v>15044.477000000001</v>
      </c>
      <c r="AB18" s="747">
        <f>+'61'!AF74</f>
        <v>58350.245999999999</v>
      </c>
      <c r="AC18" s="594">
        <f t="shared" si="20"/>
        <v>43305.769</v>
      </c>
      <c r="AD18" s="594">
        <f>'61'!AG74</f>
        <v>14973.450199999999</v>
      </c>
      <c r="AE18" s="506">
        <f t="shared" si="5"/>
        <v>1.2587082514677161</v>
      </c>
      <c r="AF18" s="506">
        <f t="shared" si="15"/>
        <v>1</v>
      </c>
      <c r="AG18" s="506">
        <f t="shared" si="6"/>
        <v>5.3332710840414563</v>
      </c>
      <c r="AH18" s="350"/>
      <c r="AI18" s="506">
        <f t="shared" si="16"/>
        <v>5.3332710840414563</v>
      </c>
      <c r="AJ18" s="355"/>
      <c r="AK18" s="506"/>
      <c r="AL18" s="350"/>
      <c r="AN18" s="513"/>
      <c r="AO18" s="330">
        <v>108580.06600000001</v>
      </c>
    </row>
    <row r="19" spans="1:41" s="330" customFormat="1" ht="38.25" customHeight="1">
      <c r="A19" s="501">
        <v>6</v>
      </c>
      <c r="B19" s="501" t="s">
        <v>245</v>
      </c>
      <c r="C19" s="332">
        <f t="shared" si="3"/>
        <v>318364</v>
      </c>
      <c r="D19" s="332">
        <v>293331</v>
      </c>
      <c r="E19" s="332">
        <f t="shared" si="7"/>
        <v>25033</v>
      </c>
      <c r="F19" s="332"/>
      <c r="G19" s="332">
        <f t="shared" si="8"/>
        <v>25033</v>
      </c>
      <c r="H19" s="332"/>
      <c r="I19" s="332"/>
      <c r="J19" s="332">
        <v>25033</v>
      </c>
      <c r="K19" s="332"/>
      <c r="L19" s="594">
        <f t="shared" si="17"/>
        <v>435313.72499999998</v>
      </c>
      <c r="M19" s="630">
        <f t="shared" si="4"/>
        <v>293331</v>
      </c>
      <c r="N19" s="631">
        <f t="shared" si="9"/>
        <v>141982.72500000001</v>
      </c>
      <c r="O19" s="631">
        <f>+'60'!F14</f>
        <v>141982.72500000001</v>
      </c>
      <c r="P19" s="594">
        <f t="shared" si="18"/>
        <v>141982.72500000001</v>
      </c>
      <c r="Q19" s="594"/>
      <c r="R19" s="594">
        <f t="shared" si="10"/>
        <v>141982.72500000001</v>
      </c>
      <c r="S19" s="632">
        <v>25033</v>
      </c>
      <c r="T19" s="632">
        <v>8000</v>
      </c>
      <c r="U19" s="630">
        <f t="shared" si="11"/>
        <v>17033</v>
      </c>
      <c r="V19" s="742">
        <f t="shared" si="12"/>
        <v>116949.72500000001</v>
      </c>
      <c r="W19" s="630">
        <f t="shared" si="13"/>
        <v>35400.965550000008</v>
      </c>
      <c r="X19" s="632">
        <v>10600</v>
      </c>
      <c r="Y19" s="632">
        <f t="shared" si="14"/>
        <v>24800.965550000008</v>
      </c>
      <c r="Z19" s="594">
        <f t="shared" si="19"/>
        <v>62512.073250000001</v>
      </c>
      <c r="AA19" s="594">
        <f>+'61'!AR75</f>
        <v>19036.6862</v>
      </c>
      <c r="AB19" s="747">
        <f>+'61'!AF75</f>
        <v>48780.391889999999</v>
      </c>
      <c r="AC19" s="594">
        <f t="shared" si="20"/>
        <v>29743.705689999999</v>
      </c>
      <c r="AD19" s="594">
        <f>'61'!AG75</f>
        <v>13731.681359999999</v>
      </c>
      <c r="AE19" s="506">
        <f t="shared" si="5"/>
        <v>1.3673459467779019</v>
      </c>
      <c r="AF19" s="506">
        <f t="shared" si="15"/>
        <v>1</v>
      </c>
      <c r="AG19" s="506">
        <f t="shared" si="6"/>
        <v>5.6718221947029921</v>
      </c>
      <c r="AH19" s="350"/>
      <c r="AI19" s="506">
        <f t="shared" si="16"/>
        <v>5.6718221947029921</v>
      </c>
      <c r="AJ19" s="355"/>
      <c r="AK19" s="506"/>
      <c r="AL19" s="350"/>
      <c r="AN19" s="513"/>
      <c r="AO19" s="330">
        <v>141982.72500000001</v>
      </c>
    </row>
    <row r="20" spans="1:41" s="330" customFormat="1" ht="38.25" customHeight="1">
      <c r="A20" s="501">
        <v>7</v>
      </c>
      <c r="B20" s="501" t="s">
        <v>251</v>
      </c>
      <c r="C20" s="332">
        <f t="shared" si="3"/>
        <v>207300</v>
      </c>
      <c r="D20" s="332">
        <v>190979</v>
      </c>
      <c r="E20" s="332">
        <f t="shared" si="7"/>
        <v>16321</v>
      </c>
      <c r="F20" s="332"/>
      <c r="G20" s="332">
        <f t="shared" si="8"/>
        <v>16321</v>
      </c>
      <c r="H20" s="332"/>
      <c r="I20" s="332"/>
      <c r="J20" s="332">
        <v>16321</v>
      </c>
      <c r="K20" s="332"/>
      <c r="L20" s="594">
        <f t="shared" si="17"/>
        <v>255513.99799999999</v>
      </c>
      <c r="M20" s="630">
        <f t="shared" si="4"/>
        <v>190979</v>
      </c>
      <c r="N20" s="631">
        <f t="shared" si="9"/>
        <v>64534.998</v>
      </c>
      <c r="O20" s="631">
        <f>+'60'!F15</f>
        <v>64534.998</v>
      </c>
      <c r="P20" s="594">
        <f t="shared" si="18"/>
        <v>64534.998</v>
      </c>
      <c r="Q20" s="633"/>
      <c r="R20" s="594">
        <f t="shared" si="10"/>
        <v>64534.998</v>
      </c>
      <c r="S20" s="632">
        <f>+J20</f>
        <v>16321</v>
      </c>
      <c r="T20" s="632"/>
      <c r="U20" s="630">
        <f t="shared" si="11"/>
        <v>16321</v>
      </c>
      <c r="V20" s="742">
        <f t="shared" si="12"/>
        <v>48213.998</v>
      </c>
      <c r="W20" s="630">
        <f t="shared" si="13"/>
        <v>16847.068500000001</v>
      </c>
      <c r="X20" s="632"/>
      <c r="Y20" s="632">
        <f t="shared" si="14"/>
        <v>16847.068500000001</v>
      </c>
      <c r="Z20" s="594">
        <f t="shared" si="19"/>
        <v>24032.7935</v>
      </c>
      <c r="AA20" s="594">
        <f>+'61'!AR76</f>
        <v>7334.1360000000004</v>
      </c>
      <c r="AB20" s="747">
        <f>+'61'!AF76</f>
        <v>17427.73</v>
      </c>
      <c r="AC20" s="594">
        <f t="shared" si="20"/>
        <v>10093.593999999999</v>
      </c>
      <c r="AD20" s="633">
        <f>'61'!AG76</f>
        <v>6605.0635000000002</v>
      </c>
      <c r="AE20" s="506">
        <f t="shared" si="5"/>
        <v>1.2325807911239748</v>
      </c>
      <c r="AF20" s="506">
        <f t="shared" si="15"/>
        <v>1</v>
      </c>
      <c r="AG20" s="506">
        <f t="shared" si="6"/>
        <v>3.9541080816126462</v>
      </c>
      <c r="AH20" s="350"/>
      <c r="AI20" s="506">
        <f t="shared" si="16"/>
        <v>3.9541080816126462</v>
      </c>
      <c r="AJ20" s="355"/>
      <c r="AK20" s="506"/>
      <c r="AL20" s="350"/>
      <c r="AN20" s="513"/>
      <c r="AO20" s="330">
        <v>64534.998</v>
      </c>
    </row>
    <row r="21" spans="1:41" s="330" customFormat="1" ht="38.25" customHeight="1">
      <c r="A21" s="501">
        <v>8</v>
      </c>
      <c r="B21" s="501" t="s">
        <v>249</v>
      </c>
      <c r="C21" s="332">
        <f t="shared" si="3"/>
        <v>428639</v>
      </c>
      <c r="D21" s="332">
        <v>411966</v>
      </c>
      <c r="E21" s="332">
        <f t="shared" si="7"/>
        <v>16673</v>
      </c>
      <c r="F21" s="332"/>
      <c r="G21" s="332">
        <f t="shared" si="8"/>
        <v>16673</v>
      </c>
      <c r="H21" s="332"/>
      <c r="I21" s="332"/>
      <c r="J21" s="332">
        <v>16673</v>
      </c>
      <c r="K21" s="332"/>
      <c r="L21" s="594">
        <f t="shared" si="17"/>
        <v>733319.50799999991</v>
      </c>
      <c r="M21" s="630">
        <f t="shared" si="4"/>
        <v>411966</v>
      </c>
      <c r="N21" s="631">
        <f t="shared" si="9"/>
        <v>321353.50799999997</v>
      </c>
      <c r="O21" s="631">
        <f>+'60'!F16</f>
        <v>321353.50799999997</v>
      </c>
      <c r="P21" s="594">
        <f t="shared" si="18"/>
        <v>321353.50799999997</v>
      </c>
      <c r="Q21" s="594"/>
      <c r="R21" s="594">
        <f t="shared" si="10"/>
        <v>321353.50799999997</v>
      </c>
      <c r="S21" s="632">
        <v>16643.123</v>
      </c>
      <c r="T21" s="632"/>
      <c r="U21" s="630">
        <f t="shared" si="11"/>
        <v>16643.123</v>
      </c>
      <c r="V21" s="742">
        <f t="shared" si="12"/>
        <v>304710.38499999995</v>
      </c>
      <c r="W21" s="630">
        <f t="shared" si="13"/>
        <v>37100.767888999981</v>
      </c>
      <c r="X21" s="632"/>
      <c r="Y21" s="632">
        <f t="shared" si="14"/>
        <v>37100.767888999981</v>
      </c>
      <c r="Z21" s="594">
        <f t="shared" si="19"/>
        <v>267607.02711099997</v>
      </c>
      <c r="AA21" s="594">
        <f>+'61'!AR77</f>
        <v>2.59</v>
      </c>
      <c r="AB21" s="747">
        <f>+'61'!AF77</f>
        <v>217726.54332599998</v>
      </c>
      <c r="AC21" s="594">
        <f t="shared" si="20"/>
        <v>217723.95332599999</v>
      </c>
      <c r="AD21" s="594">
        <f>'61'!AG77</f>
        <v>49880.483785000004</v>
      </c>
      <c r="AE21" s="506">
        <f t="shared" si="5"/>
        <v>1.7108091144296247</v>
      </c>
      <c r="AF21" s="506">
        <f t="shared" si="15"/>
        <v>1</v>
      </c>
      <c r="AG21" s="506">
        <f t="shared" si="6"/>
        <v>19.273886403166795</v>
      </c>
      <c r="AH21" s="350"/>
      <c r="AI21" s="506">
        <f t="shared" si="16"/>
        <v>19.273886403166795</v>
      </c>
      <c r="AJ21" s="355"/>
      <c r="AK21" s="506"/>
      <c r="AL21" s="350"/>
      <c r="AN21" s="513"/>
      <c r="AO21" s="330">
        <v>321353.50799999997</v>
      </c>
    </row>
    <row r="22" spans="1:41" s="330" customFormat="1" ht="38.25" customHeight="1">
      <c r="A22" s="501">
        <v>9</v>
      </c>
      <c r="B22" s="501" t="s">
        <v>1873</v>
      </c>
      <c r="C22" s="332">
        <f t="shared" si="3"/>
        <v>609813</v>
      </c>
      <c r="D22" s="332">
        <v>587920</v>
      </c>
      <c r="E22" s="332">
        <f t="shared" si="7"/>
        <v>21893</v>
      </c>
      <c r="F22" s="332"/>
      <c r="G22" s="332">
        <f t="shared" si="8"/>
        <v>21893</v>
      </c>
      <c r="H22" s="332"/>
      <c r="I22" s="332"/>
      <c r="J22" s="332">
        <v>21893</v>
      </c>
      <c r="K22" s="332"/>
      <c r="L22" s="594">
        <f t="shared" si="17"/>
        <v>831148.55099599995</v>
      </c>
      <c r="M22" s="630">
        <f t="shared" si="4"/>
        <v>587920</v>
      </c>
      <c r="N22" s="631">
        <f t="shared" si="9"/>
        <v>243228.55099600001</v>
      </c>
      <c r="O22" s="631">
        <f>+'60'!F17</f>
        <v>243228.55099600001</v>
      </c>
      <c r="P22" s="594">
        <f>+R22</f>
        <v>243228.55099600001</v>
      </c>
      <c r="Q22" s="594"/>
      <c r="R22" s="594">
        <f t="shared" si="10"/>
        <v>243228.55099600001</v>
      </c>
      <c r="S22" s="632">
        <v>21416.084696000002</v>
      </c>
      <c r="T22" s="632">
        <v>10000</v>
      </c>
      <c r="U22" s="630">
        <f t="shared" si="11"/>
        <v>11416.084696000002</v>
      </c>
      <c r="V22" s="742">
        <f t="shared" si="12"/>
        <v>221812.4663</v>
      </c>
      <c r="W22" s="630">
        <f t="shared" si="13"/>
        <v>61079.244092999994</v>
      </c>
      <c r="X22" s="632">
        <v>550</v>
      </c>
      <c r="Y22" s="632">
        <f t="shared" si="14"/>
        <v>60529.244092999994</v>
      </c>
      <c r="Z22" s="594">
        <f>+AA22+AC22+AD22</f>
        <v>160694.72020700001</v>
      </c>
      <c r="AA22" s="594">
        <f>+'61'!AR78</f>
        <v>38.502000000000002</v>
      </c>
      <c r="AB22" s="747">
        <f>+'61'!AF78</f>
        <v>132091.470542</v>
      </c>
      <c r="AC22" s="594">
        <f t="shared" si="20"/>
        <v>132052.96854199999</v>
      </c>
      <c r="AD22" s="594">
        <f>+'61'!AG78</f>
        <v>28603.249664999999</v>
      </c>
      <c r="AE22" s="506">
        <f t="shared" si="5"/>
        <v>1.3629564325391554</v>
      </c>
      <c r="AF22" s="506">
        <f t="shared" si="15"/>
        <v>1</v>
      </c>
      <c r="AG22" s="506">
        <f t="shared" si="6"/>
        <v>11.109877631937149</v>
      </c>
      <c r="AH22" s="350"/>
      <c r="AI22" s="506">
        <f t="shared" si="16"/>
        <v>11.109877631937149</v>
      </c>
      <c r="AJ22" s="355"/>
      <c r="AK22" s="506"/>
      <c r="AL22" s="350"/>
      <c r="AN22" s="513"/>
      <c r="AO22" s="330">
        <v>243228.55099600001</v>
      </c>
    </row>
    <row r="23" spans="1:41" s="330" customFormat="1" ht="38.25" customHeight="1">
      <c r="A23" s="501">
        <v>10</v>
      </c>
      <c r="B23" s="501" t="s">
        <v>252</v>
      </c>
      <c r="C23" s="332">
        <f t="shared" si="3"/>
        <v>25968</v>
      </c>
      <c r="D23" s="332">
        <v>23937</v>
      </c>
      <c r="E23" s="332">
        <f t="shared" si="7"/>
        <v>2031</v>
      </c>
      <c r="F23" s="332"/>
      <c r="G23" s="332">
        <f t="shared" si="8"/>
        <v>2031</v>
      </c>
      <c r="H23" s="332"/>
      <c r="I23" s="332"/>
      <c r="J23" s="332">
        <v>2031</v>
      </c>
      <c r="K23" s="332"/>
      <c r="L23" s="594">
        <f>M23+P23</f>
        <v>38198</v>
      </c>
      <c r="M23" s="630">
        <f t="shared" si="4"/>
        <v>23937</v>
      </c>
      <c r="N23" s="631">
        <f>+V23+S23</f>
        <v>14261</v>
      </c>
      <c r="O23" s="631">
        <f>+'60'!F18</f>
        <v>14261</v>
      </c>
      <c r="P23" s="594">
        <f>+R23</f>
        <v>14261</v>
      </c>
      <c r="Q23" s="594"/>
      <c r="R23" s="594">
        <f>+S23+X23+Y23+Z23+AA23</f>
        <v>14261</v>
      </c>
      <c r="S23" s="632">
        <f>+J23</f>
        <v>2031</v>
      </c>
      <c r="T23" s="632"/>
      <c r="U23" s="630">
        <f t="shared" si="11"/>
        <v>2031</v>
      </c>
      <c r="V23" s="742">
        <f t="shared" si="12"/>
        <v>12230</v>
      </c>
      <c r="W23" s="630">
        <f t="shared" si="13"/>
        <v>4389.6549999999997</v>
      </c>
      <c r="X23" s="632">
        <v>0</v>
      </c>
      <c r="Y23" s="974">
        <f>+W23-X23</f>
        <v>4389.6549999999997</v>
      </c>
      <c r="Z23" s="594">
        <f>+AA23+AC23+AD23</f>
        <v>7840.3450000000003</v>
      </c>
      <c r="AA23" s="594">
        <f>+'61'!AR79</f>
        <v>0</v>
      </c>
      <c r="AB23" s="747">
        <v>5923</v>
      </c>
      <c r="AC23" s="594">
        <f>+AB23-AA23</f>
        <v>5923</v>
      </c>
      <c r="AD23" s="594">
        <f>+'61'!AG79</f>
        <v>1917.345</v>
      </c>
      <c r="AE23" s="506">
        <f t="shared" si="5"/>
        <v>1.4709642637091804</v>
      </c>
      <c r="AF23" s="506">
        <f t="shared" si="15"/>
        <v>1</v>
      </c>
      <c r="AG23" s="506">
        <f t="shared" si="6"/>
        <v>7.0216642048252096</v>
      </c>
      <c r="AH23" s="350"/>
      <c r="AI23" s="506">
        <f t="shared" si="16"/>
        <v>7.0216642048252096</v>
      </c>
      <c r="AJ23" s="355"/>
      <c r="AK23" s="506"/>
      <c r="AL23" s="350"/>
      <c r="AN23" s="513"/>
      <c r="AO23" s="330">
        <v>14261</v>
      </c>
    </row>
    <row r="24" spans="1:41">
      <c r="A24" s="364"/>
    </row>
    <row r="25" spans="1:41">
      <c r="A25" s="365"/>
      <c r="W25" s="761"/>
    </row>
    <row r="26" spans="1:41">
      <c r="V26" s="618">
        <f>+S17-W17</f>
        <v>19909.619131999993</v>
      </c>
      <c r="W26" s="761">
        <v>20.260000000000002</v>
      </c>
    </row>
    <row r="27" spans="1:41">
      <c r="W27" s="761"/>
    </row>
  </sheetData>
  <mergeCells count="39">
    <mergeCell ref="AK8:AK9"/>
    <mergeCell ref="P7:AD7"/>
    <mergeCell ref="L6:AD6"/>
    <mergeCell ref="AA8:AD8"/>
    <mergeCell ref="AE5:AL5"/>
    <mergeCell ref="AE1:AL1"/>
    <mergeCell ref="A2:AL2"/>
    <mergeCell ref="A4:AL4"/>
    <mergeCell ref="C6:K6"/>
    <mergeCell ref="AE6:AL6"/>
    <mergeCell ref="A3:AL3"/>
    <mergeCell ref="AG8:AG9"/>
    <mergeCell ref="Z8:Z9"/>
    <mergeCell ref="H8:H9"/>
    <mergeCell ref="A6:A9"/>
    <mergeCell ref="P8:P9"/>
    <mergeCell ref="AJ8:AJ9"/>
    <mergeCell ref="AL8:AL9"/>
    <mergeCell ref="AF7:AF9"/>
    <mergeCell ref="AE7:AE9"/>
    <mergeCell ref="AG7:AL7"/>
    <mergeCell ref="I8:I9"/>
    <mergeCell ref="W8:W9"/>
    <mergeCell ref="T8:U8"/>
    <mergeCell ref="X8:Y8"/>
    <mergeCell ref="E7:K7"/>
    <mergeCell ref="E8:E9"/>
    <mergeCell ref="F8:G8"/>
    <mergeCell ref="J8:J9"/>
    <mergeCell ref="AH8:AI8"/>
    <mergeCell ref="B6:B9"/>
    <mergeCell ref="D7:D9"/>
    <mergeCell ref="K8:K9"/>
    <mergeCell ref="M7:M9"/>
    <mergeCell ref="S8:S9"/>
    <mergeCell ref="N7:O9"/>
    <mergeCell ref="L7:L9"/>
    <mergeCell ref="Q8:R8"/>
    <mergeCell ref="C7:C9"/>
  </mergeCells>
  <pageMargins left="0.196850393700787" right="0.196850393700787" top="0.69685039400000004" bottom="0.196850393700787" header="0.31496062992126" footer="0.31496062992126"/>
  <pageSetup paperSize="8" scale="60" orientation="landscape" horizontalDpi="1200" verticalDpi="12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I37" sqref="I37"/>
    </sheetView>
  </sheetViews>
  <sheetFormatPr defaultRowHeight="15"/>
  <cols>
    <col min="1" max="1" width="7.25" style="560" customWidth="1"/>
    <col min="2" max="2" width="18.875" style="560" customWidth="1"/>
    <col min="3" max="3" width="11.25" style="618" customWidth="1"/>
    <col min="4" max="4" width="12" style="618" customWidth="1"/>
    <col min="5" max="5" width="12.125" style="618" customWidth="1"/>
    <col min="6" max="6" width="12.25" style="618" customWidth="1"/>
    <col min="7" max="7" width="10.25" style="618" customWidth="1"/>
    <col min="8" max="8" width="12" style="618" customWidth="1"/>
    <col min="9" max="9" width="10.75" style="618" customWidth="1"/>
    <col min="10" max="10" width="11.75" style="618" customWidth="1"/>
    <col min="11" max="16384" width="9" style="560"/>
  </cols>
  <sheetData>
    <row r="1" spans="1:10">
      <c r="J1" s="642" t="s">
        <v>185</v>
      </c>
    </row>
    <row r="2" spans="1:10" ht="18.75">
      <c r="A2" s="1148" t="s">
        <v>2409</v>
      </c>
      <c r="B2" s="1148"/>
      <c r="C2" s="1148"/>
      <c r="D2" s="1148"/>
      <c r="E2" s="1148"/>
      <c r="F2" s="1148"/>
      <c r="G2" s="1148"/>
      <c r="H2" s="1148"/>
      <c r="I2" s="1148"/>
      <c r="J2" s="1148"/>
    </row>
    <row r="3" spans="1:10">
      <c r="A3" s="1149" t="str">
        <f>+list!A21</f>
        <v>(Kèm theo Báo cáo số:             /BC-UBND ngày      tháng     năm 2024  của Ủy ban nhân dân tỉnh Quảng Trị)</v>
      </c>
      <c r="B3" s="1149"/>
      <c r="C3" s="1149"/>
      <c r="D3" s="1149"/>
      <c r="E3" s="1149"/>
      <c r="F3" s="1149"/>
      <c r="G3" s="1149"/>
      <c r="H3" s="1149"/>
      <c r="I3" s="1149"/>
      <c r="J3" s="1149"/>
    </row>
    <row r="4" spans="1:10">
      <c r="J4" s="566" t="s">
        <v>2</v>
      </c>
    </row>
    <row r="5" spans="1:10">
      <c r="A5" s="1150" t="s">
        <v>3</v>
      </c>
      <c r="B5" s="1150" t="s">
        <v>152</v>
      </c>
      <c r="C5" s="1151" t="s">
        <v>186</v>
      </c>
      <c r="D5" s="1151" t="s">
        <v>158</v>
      </c>
      <c r="E5" s="1151"/>
      <c r="F5" s="1151"/>
      <c r="G5" s="1151"/>
      <c r="H5" s="1151"/>
      <c r="I5" s="1151"/>
      <c r="J5" s="1151"/>
    </row>
    <row r="6" spans="1:10" ht="63" customHeight="1">
      <c r="A6" s="1150"/>
      <c r="B6" s="1150"/>
      <c r="C6" s="1151"/>
      <c r="D6" s="644" t="s">
        <v>187</v>
      </c>
      <c r="E6" s="643" t="s">
        <v>188</v>
      </c>
      <c r="F6" s="643" t="s">
        <v>1145</v>
      </c>
      <c r="G6" s="643" t="s">
        <v>189</v>
      </c>
      <c r="H6" s="643" t="s">
        <v>27</v>
      </c>
      <c r="I6" s="643" t="s">
        <v>190</v>
      </c>
      <c r="J6" s="643" t="s">
        <v>1146</v>
      </c>
    </row>
    <row r="7" spans="1:10" s="635" customFormat="1">
      <c r="A7" s="561" t="s">
        <v>9</v>
      </c>
      <c r="B7" s="561" t="s">
        <v>10</v>
      </c>
      <c r="C7" s="650">
        <v>1</v>
      </c>
      <c r="D7" s="651">
        <v>2</v>
      </c>
      <c r="E7" s="650">
        <v>3</v>
      </c>
      <c r="F7" s="650">
        <v>4</v>
      </c>
      <c r="G7" s="650">
        <v>5</v>
      </c>
      <c r="H7" s="650">
        <v>6</v>
      </c>
      <c r="I7" s="650">
        <v>7</v>
      </c>
      <c r="J7" s="650">
        <v>8</v>
      </c>
    </row>
    <row r="8" spans="1:10" ht="25.5" customHeight="1">
      <c r="A8" s="634"/>
      <c r="B8" s="636" t="s">
        <v>154</v>
      </c>
      <c r="C8" s="645">
        <f t="shared" ref="C8:I8" si="0">SUM(C9:C18)</f>
        <v>6896408.8901379984</v>
      </c>
      <c r="D8" s="646">
        <f t="shared" si="0"/>
        <v>1023993.044684</v>
      </c>
      <c r="E8" s="645">
        <f>SUM(E9:E18)</f>
        <v>2610086</v>
      </c>
      <c r="F8" s="645">
        <f>SUM(F9:F18)</f>
        <v>1281317.2549379999</v>
      </c>
      <c r="G8" s="645">
        <f t="shared" si="0"/>
        <v>0</v>
      </c>
      <c r="H8" s="645">
        <f t="shared" si="0"/>
        <v>1866405.4224790002</v>
      </c>
      <c r="I8" s="645">
        <f t="shared" si="0"/>
        <v>109122.382843</v>
      </c>
      <c r="J8" s="645">
        <f>SUM(J9:J18)</f>
        <v>5484.785194</v>
      </c>
    </row>
    <row r="9" spans="1:10" ht="17.25" customHeight="1">
      <c r="A9" s="637">
        <v>1</v>
      </c>
      <c r="B9" s="638" t="s">
        <v>243</v>
      </c>
      <c r="C9" s="647">
        <f>D9+E9+G9+H9+I9+F9+J9</f>
        <v>800807.30651899998</v>
      </c>
      <c r="D9" s="648">
        <v>429011.11416200001</v>
      </c>
      <c r="E9" s="647"/>
      <c r="F9" s="647">
        <v>76478.512000000002</v>
      </c>
      <c r="G9" s="647"/>
      <c r="H9" s="647">
        <v>275935.20149499999</v>
      </c>
      <c r="I9" s="647">
        <v>18989.436362</v>
      </c>
      <c r="J9" s="647">
        <v>393.04250000000002</v>
      </c>
    </row>
    <row r="10" spans="1:10" ht="17.25" customHeight="1">
      <c r="A10" s="637">
        <v>2</v>
      </c>
      <c r="B10" s="638" t="s">
        <v>244</v>
      </c>
      <c r="C10" s="647">
        <f t="shared" ref="C10:C15" si="1">D10+E10+G10+H10+I10+F10+J10</f>
        <v>247269.37972299996</v>
      </c>
      <c r="D10" s="648">
        <v>51812.148300000001</v>
      </c>
      <c r="E10" s="647">
        <v>87335</v>
      </c>
      <c r="F10" s="647">
        <v>21544.722942</v>
      </c>
      <c r="G10" s="647"/>
      <c r="H10" s="647">
        <v>85170.446356999993</v>
      </c>
      <c r="I10" s="647">
        <v>1407.062124</v>
      </c>
      <c r="J10" s="647"/>
    </row>
    <row r="11" spans="1:10" ht="17.25" customHeight="1">
      <c r="A11" s="637">
        <v>3</v>
      </c>
      <c r="B11" s="638" t="s">
        <v>247</v>
      </c>
      <c r="C11" s="647">
        <f t="shared" si="1"/>
        <v>861757.491025</v>
      </c>
      <c r="D11" s="648">
        <v>76493.261853000004</v>
      </c>
      <c r="E11" s="647">
        <v>325814</v>
      </c>
      <c r="F11" s="647">
        <v>164039.65599999999</v>
      </c>
      <c r="G11" s="647"/>
      <c r="H11" s="647">
        <v>290838.32117399998</v>
      </c>
      <c r="I11" s="647">
        <v>1032.217891</v>
      </c>
      <c r="J11" s="647">
        <v>3540.0341069999999</v>
      </c>
    </row>
    <row r="12" spans="1:10" ht="17.25" customHeight="1">
      <c r="A12" s="637">
        <v>4</v>
      </c>
      <c r="B12" s="638" t="s">
        <v>248</v>
      </c>
      <c r="C12" s="647">
        <f t="shared" si="1"/>
        <v>732123.6242030001</v>
      </c>
      <c r="D12" s="648">
        <v>61935.240624999999</v>
      </c>
      <c r="E12" s="647">
        <v>368157</v>
      </c>
      <c r="F12" s="647">
        <v>125313.516</v>
      </c>
      <c r="G12" s="647"/>
      <c r="H12" s="647">
        <v>151856.64018399999</v>
      </c>
      <c r="I12" s="647">
        <v>24775.790394</v>
      </c>
      <c r="J12" s="647">
        <v>85.436999999999998</v>
      </c>
    </row>
    <row r="13" spans="1:10" ht="17.25" customHeight="1">
      <c r="A13" s="637">
        <v>5</v>
      </c>
      <c r="B13" s="638" t="s">
        <v>246</v>
      </c>
      <c r="C13" s="647">
        <f t="shared" si="1"/>
        <v>663343.391573</v>
      </c>
      <c r="D13" s="648">
        <v>79281.099988000002</v>
      </c>
      <c r="E13" s="647">
        <v>320647</v>
      </c>
      <c r="F13" s="647">
        <v>108580.06600000001</v>
      </c>
      <c r="G13" s="647"/>
      <c r="H13" s="647">
        <v>145857.75702200001</v>
      </c>
      <c r="I13" s="647">
        <v>8531.0945630000006</v>
      </c>
      <c r="J13" s="647">
        <v>446.37400000000002</v>
      </c>
    </row>
    <row r="14" spans="1:10" ht="17.25" customHeight="1">
      <c r="A14" s="637">
        <v>6</v>
      </c>
      <c r="B14" s="638" t="s">
        <v>245</v>
      </c>
      <c r="C14" s="647">
        <f t="shared" si="1"/>
        <v>916266.36064800003</v>
      </c>
      <c r="D14" s="648">
        <v>160033.64873800002</v>
      </c>
      <c r="E14" s="647">
        <v>293331</v>
      </c>
      <c r="F14" s="647">
        <v>141982.72500000001</v>
      </c>
      <c r="G14" s="647"/>
      <c r="H14" s="647">
        <v>315311.26402399997</v>
      </c>
      <c r="I14" s="647">
        <v>5572.0558860000001</v>
      </c>
      <c r="J14" s="647">
        <v>35.667000000000002</v>
      </c>
    </row>
    <row r="15" spans="1:10" ht="17.25" customHeight="1">
      <c r="A15" s="637">
        <v>7</v>
      </c>
      <c r="B15" s="638" t="s">
        <v>251</v>
      </c>
      <c r="C15" s="647">
        <f t="shared" si="1"/>
        <v>457105.29128</v>
      </c>
      <c r="D15" s="648">
        <v>75464.532397999996</v>
      </c>
      <c r="E15" s="647">
        <v>190979</v>
      </c>
      <c r="F15" s="647">
        <v>64534.998</v>
      </c>
      <c r="G15" s="647"/>
      <c r="H15" s="647">
        <v>100771.265988</v>
      </c>
      <c r="I15" s="647">
        <v>25355.494893999999</v>
      </c>
      <c r="J15" s="647"/>
    </row>
    <row r="16" spans="1:10" ht="17.25" customHeight="1">
      <c r="A16" s="637">
        <v>8</v>
      </c>
      <c r="B16" s="638" t="s">
        <v>249</v>
      </c>
      <c r="C16" s="647">
        <f>D16+E16+G16+H16+I16+F16+J16</f>
        <v>979558.91647500009</v>
      </c>
      <c r="D16" s="648">
        <v>24179.837916</v>
      </c>
      <c r="E16" s="647">
        <v>411966</v>
      </c>
      <c r="F16" s="647">
        <v>321353.50799999997</v>
      </c>
      <c r="G16" s="647"/>
      <c r="H16" s="647">
        <v>199764.049516</v>
      </c>
      <c r="I16" s="647">
        <v>22295.521043000001</v>
      </c>
      <c r="J16" s="647"/>
    </row>
    <row r="17" spans="1:10" ht="17.25" customHeight="1">
      <c r="A17" s="637">
        <v>9</v>
      </c>
      <c r="B17" s="638" t="s">
        <v>250</v>
      </c>
      <c r="C17" s="647">
        <f>D17+E17+G17+H17+I17+F17+J17</f>
        <v>1168461.487092</v>
      </c>
      <c r="D17" s="648">
        <v>65276.438501999997</v>
      </c>
      <c r="E17" s="647">
        <v>587920</v>
      </c>
      <c r="F17" s="647">
        <v>243228.55099600001</v>
      </c>
      <c r="G17" s="647"/>
      <c r="H17" s="647">
        <v>269905.98936900002</v>
      </c>
      <c r="I17" s="647">
        <v>1146.277638</v>
      </c>
      <c r="J17" s="647">
        <v>984.23058700000001</v>
      </c>
    </row>
    <row r="18" spans="1:10" ht="17.25" customHeight="1">
      <c r="A18" s="637">
        <v>10</v>
      </c>
      <c r="B18" s="638" t="s">
        <v>252</v>
      </c>
      <c r="C18" s="647">
        <f>D18+E18+G18+H18+I18+F18+J18</f>
        <v>69715.641600000003</v>
      </c>
      <c r="D18" s="648">
        <v>505.72220199999998</v>
      </c>
      <c r="E18" s="647">
        <v>23937</v>
      </c>
      <c r="F18" s="647">
        <v>14261</v>
      </c>
      <c r="G18" s="647"/>
      <c r="H18" s="647">
        <v>30994.487349999999</v>
      </c>
      <c r="I18" s="647">
        <v>17.432048000000002</v>
      </c>
      <c r="J18" s="910"/>
    </row>
    <row r="19" spans="1:10">
      <c r="A19" s="639"/>
    </row>
    <row r="20" spans="1:10" hidden="1">
      <c r="A20" s="639"/>
    </row>
    <row r="21" spans="1:10" hidden="1">
      <c r="A21" s="639"/>
    </row>
    <row r="22" spans="1:10" hidden="1">
      <c r="A22" s="639"/>
    </row>
    <row r="23" spans="1:10" hidden="1">
      <c r="A23" s="639"/>
      <c r="H23" s="618">
        <f>+H24+H25</f>
        <v>1250975.77</v>
      </c>
      <c r="I23" s="618">
        <f>+I24+I25</f>
        <v>59940.56</v>
      </c>
    </row>
    <row r="24" spans="1:10" hidden="1">
      <c r="A24" s="639"/>
      <c r="H24" s="618">
        <v>1086139.73</v>
      </c>
      <c r="I24" s="618">
        <v>51479.01</v>
      </c>
    </row>
    <row r="25" spans="1:10" hidden="1">
      <c r="A25" s="639"/>
      <c r="H25" s="618">
        <v>164836.04</v>
      </c>
      <c r="I25" s="618">
        <v>8461.5499999999993</v>
      </c>
    </row>
    <row r="26" spans="1:10" hidden="1">
      <c r="A26" s="639"/>
    </row>
    <row r="27" spans="1:10" hidden="1"/>
    <row r="28" spans="1:10" hidden="1">
      <c r="G28" s="649"/>
      <c r="H28" s="640">
        <f>+H29+H30+H31</f>
        <v>2920759.0619999999</v>
      </c>
      <c r="I28" s="640">
        <f>+I29+I30+I31</f>
        <v>30119.120500000001</v>
      </c>
      <c r="J28" s="640">
        <f>+J29+J30+J31</f>
        <v>103965.001</v>
      </c>
    </row>
    <row r="29" spans="1:10" hidden="1">
      <c r="G29" s="649" t="s">
        <v>1917</v>
      </c>
      <c r="H29" s="640">
        <v>1951265.5530000001</v>
      </c>
      <c r="I29" s="641">
        <v>2763.0774999999999</v>
      </c>
      <c r="J29" s="641">
        <v>93345.524000000005</v>
      </c>
    </row>
    <row r="30" spans="1:10" hidden="1">
      <c r="G30" s="649" t="s">
        <v>1858</v>
      </c>
      <c r="H30" s="640">
        <v>893522.804</v>
      </c>
      <c r="I30" s="641">
        <v>12579.628000000001</v>
      </c>
      <c r="J30" s="641">
        <v>10619.477000000001</v>
      </c>
    </row>
    <row r="31" spans="1:10" hidden="1">
      <c r="G31" s="649" t="s">
        <v>1497</v>
      </c>
      <c r="H31" s="640">
        <v>75970.705000000002</v>
      </c>
      <c r="I31" s="641">
        <v>14776.415000000001</v>
      </c>
      <c r="J31" s="641"/>
    </row>
    <row r="32" spans="1:10" hidden="1"/>
    <row r="33" hidden="1"/>
    <row r="34" hidden="1"/>
  </sheetData>
  <mergeCells count="6">
    <mergeCell ref="A2:J2"/>
    <mergeCell ref="A3:J3"/>
    <mergeCell ref="A5:A6"/>
    <mergeCell ref="B5:B6"/>
    <mergeCell ref="C5:C6"/>
    <mergeCell ref="D5:J5"/>
  </mergeCells>
  <pageMargins left="0.94488188976377963" right="0.19685039370078741" top="0.74803149606299213" bottom="0.74803149606299213" header="0.31496062992125984" footer="0.31496062992125984"/>
  <pageSetup paperSize="9" scale="11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FE80"/>
  <sheetViews>
    <sheetView view="pageBreakPreview" topLeftCell="A32" zoomScale="25" zoomScaleNormal="55" zoomScaleSheetLayoutView="25" workbookViewId="0">
      <selection activeCell="AQ58" sqref="AQ58"/>
    </sheetView>
  </sheetViews>
  <sheetFormatPr defaultRowHeight="20.25"/>
  <cols>
    <col min="1" max="1" width="7.625" style="567" customWidth="1"/>
    <col min="2" max="2" width="46.25" style="999" customWidth="1"/>
    <col min="3" max="5" width="15.875" style="567" customWidth="1"/>
    <col min="6" max="6" width="13.75" style="567" customWidth="1"/>
    <col min="7" max="8" width="15.875" style="567" customWidth="1"/>
    <col min="9" max="9" width="9.875" style="567" customWidth="1"/>
    <col min="10" max="12" width="15.875" style="567" customWidth="1"/>
    <col min="13" max="13" width="11.375" style="567" customWidth="1"/>
    <col min="14" max="14" width="15.875" style="567" customWidth="1"/>
    <col min="15" max="15" width="15.875" style="696" customWidth="1"/>
    <col min="16" max="16" width="11.125" style="696" customWidth="1"/>
    <col min="17" max="18" width="15.875" style="567" customWidth="1"/>
    <col min="19" max="19" width="14" style="567" customWidth="1"/>
    <col min="20" max="20" width="13" style="567" customWidth="1"/>
    <col min="21" max="21" width="15.875" style="567" customWidth="1"/>
    <col min="22" max="22" width="15.875" style="696" customWidth="1"/>
    <col min="23" max="23" width="11.75" style="696" customWidth="1"/>
    <col min="24" max="24" width="15.875" style="567" customWidth="1"/>
    <col min="25" max="25" width="13.75" style="567" customWidth="1"/>
    <col min="26" max="26" width="15.875" style="567" customWidth="1"/>
    <col min="27" max="27" width="11.75" style="567" customWidth="1"/>
    <col min="28" max="28" width="15.875" style="567" customWidth="1"/>
    <col min="29" max="29" width="15.875" style="696" customWidth="1"/>
    <col min="30" max="30" width="13" style="696" customWidth="1"/>
    <col min="31" max="31" width="17.25" style="612" customWidth="1"/>
    <col min="32" max="32" width="17" style="612" customWidth="1"/>
    <col min="33" max="33" width="17.875" style="612" customWidth="1"/>
    <col min="34" max="34" width="16" style="612" customWidth="1"/>
    <col min="35" max="35" width="15" style="612" customWidth="1"/>
    <col min="36" max="36" width="16.375" style="612" customWidth="1"/>
    <col min="37" max="37" width="9.75" style="612" customWidth="1"/>
    <col min="38" max="38" width="14" style="612" customWidth="1"/>
    <col min="39" max="39" width="15.125" style="612" customWidth="1"/>
    <col min="40" max="40" width="9.75" style="612" customWidth="1"/>
    <col min="41" max="41" width="13.875" style="612" customWidth="1"/>
    <col min="42" max="42" width="14.625" style="612" customWidth="1"/>
    <col min="43" max="43" width="16.125" style="612" customWidth="1"/>
    <col min="44" max="44" width="16.75" style="612" customWidth="1"/>
    <col min="45" max="45" width="14.625" style="612" customWidth="1"/>
    <col min="46" max="46" width="16.75" style="729" customWidth="1"/>
    <col min="47" max="47" width="15.375" style="612" customWidth="1"/>
    <col min="48" max="48" width="13.875" style="612" customWidth="1"/>
    <col min="49" max="49" width="16.25" style="612" customWidth="1"/>
    <col min="50" max="50" width="16.125" style="612" customWidth="1"/>
    <col min="51" max="51" width="9.75" style="612" customWidth="1"/>
    <col min="52" max="52" width="14.125" style="612" customWidth="1"/>
    <col min="53" max="53" width="16.75" style="1014" customWidth="1"/>
    <col min="54" max="54" width="9.75" style="612" hidden="1" customWidth="1"/>
    <col min="55" max="55" width="11.125" style="736" customWidth="1"/>
    <col min="56" max="56" width="12.125" style="736" customWidth="1"/>
    <col min="57" max="57" width="11.625" style="736" customWidth="1"/>
    <col min="58" max="59" width="9" style="612" customWidth="1"/>
    <col min="60" max="62" width="9" style="612"/>
    <col min="63" max="63" width="16.75" style="612" bestFit="1" customWidth="1"/>
    <col min="64" max="64" width="9" style="612"/>
    <col min="65" max="65" width="21.125" style="612" customWidth="1"/>
    <col min="66" max="16384" width="9" style="612"/>
  </cols>
  <sheetData>
    <row r="1" spans="1:161" ht="24" customHeight="1">
      <c r="BD1" s="737" t="s">
        <v>1628</v>
      </c>
    </row>
    <row r="2" spans="1:161" s="1020" customFormat="1" ht="35.25" customHeight="1">
      <c r="A2" s="1159" t="s">
        <v>2410</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c r="AB2" s="1159"/>
      <c r="AC2" s="1159"/>
      <c r="AD2" s="1159"/>
      <c r="AE2" s="1159"/>
      <c r="AF2" s="1159"/>
      <c r="AG2" s="1159"/>
      <c r="AH2" s="1159"/>
      <c r="AI2" s="1159"/>
      <c r="AJ2" s="1159"/>
      <c r="AK2" s="1159"/>
      <c r="AL2" s="1159"/>
      <c r="AM2" s="1159"/>
      <c r="AN2" s="1159"/>
      <c r="AO2" s="1159"/>
      <c r="AP2" s="1159"/>
      <c r="AQ2" s="1159"/>
      <c r="AR2" s="1159"/>
      <c r="AS2" s="1159"/>
      <c r="AT2" s="1159"/>
      <c r="AU2" s="1159"/>
      <c r="AV2" s="1159"/>
      <c r="AW2" s="1159"/>
      <c r="AX2" s="1159"/>
      <c r="AY2" s="1159"/>
      <c r="AZ2" s="1159"/>
      <c r="BA2" s="1159"/>
      <c r="BB2" s="1159"/>
      <c r="BC2" s="1159"/>
      <c r="BD2" s="1159"/>
      <c r="BE2" s="1159"/>
    </row>
    <row r="3" spans="1:161" s="1020" customFormat="1" ht="27.75" customHeight="1">
      <c r="A3" s="1160" t="s">
        <v>2690</v>
      </c>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K3" s="1160"/>
      <c r="AL3" s="1160"/>
      <c r="AM3" s="1160"/>
      <c r="AN3" s="1160"/>
      <c r="AO3" s="1160"/>
      <c r="AP3" s="1160"/>
      <c r="AQ3" s="1160"/>
      <c r="AR3" s="1160"/>
      <c r="AS3" s="1160"/>
      <c r="AT3" s="1160"/>
      <c r="AU3" s="1160"/>
      <c r="AV3" s="1160"/>
      <c r="AW3" s="1160"/>
      <c r="AX3" s="1160"/>
      <c r="AY3" s="1160"/>
      <c r="AZ3" s="1160"/>
      <c r="BA3" s="1160"/>
      <c r="BB3" s="1160"/>
      <c r="BC3" s="1160"/>
      <c r="BD3" s="1160"/>
      <c r="BE3" s="1160"/>
    </row>
    <row r="4" spans="1:161" ht="28.5" hidden="1" customHeight="1">
      <c r="A4" s="1161" t="s">
        <v>1636</v>
      </c>
      <c r="B4" s="1161"/>
      <c r="C4" s="1161"/>
      <c r="D4" s="1161"/>
      <c r="E4" s="1161"/>
      <c r="F4" s="1161"/>
      <c r="G4" s="1161"/>
      <c r="H4" s="1161"/>
      <c r="I4" s="1161"/>
      <c r="J4" s="1161"/>
      <c r="K4" s="1161"/>
      <c r="L4" s="1161"/>
      <c r="M4" s="1161"/>
      <c r="N4" s="1161"/>
      <c r="O4" s="1161"/>
      <c r="P4" s="1161"/>
      <c r="Q4" s="1161"/>
      <c r="R4" s="1161"/>
      <c r="S4" s="1161"/>
      <c r="T4" s="1161"/>
      <c r="U4" s="1161"/>
      <c r="V4" s="1161"/>
      <c r="W4" s="1161"/>
      <c r="X4" s="1161"/>
      <c r="Y4" s="1161"/>
      <c r="Z4" s="1161"/>
      <c r="AA4" s="1161"/>
      <c r="AB4" s="1161"/>
      <c r="AC4" s="1161"/>
      <c r="AD4" s="1161"/>
      <c r="AE4" s="1161"/>
      <c r="AF4" s="1161"/>
      <c r="AG4" s="1161"/>
      <c r="AH4" s="1161"/>
      <c r="AI4" s="1161"/>
      <c r="AJ4" s="1161"/>
      <c r="AK4" s="1161"/>
      <c r="AL4" s="1161"/>
      <c r="AM4" s="1161"/>
      <c r="AN4" s="1161"/>
      <c r="AO4" s="1161"/>
      <c r="AP4" s="1161"/>
      <c r="AQ4" s="1161"/>
      <c r="AR4" s="1161"/>
      <c r="AS4" s="1161"/>
      <c r="AT4" s="1161"/>
      <c r="AU4" s="1161"/>
      <c r="AV4" s="1161"/>
      <c r="AW4" s="1161"/>
      <c r="AX4" s="1161"/>
      <c r="AY4" s="1161"/>
      <c r="AZ4" s="1161"/>
      <c r="BA4" s="1161"/>
      <c r="BB4" s="1161"/>
      <c r="BC4" s="1161"/>
      <c r="BD4" s="1161"/>
      <c r="BE4" s="1161"/>
    </row>
    <row r="5" spans="1:161" ht="21.75" hidden="1" customHeight="1">
      <c r="J5" s="697"/>
      <c r="O5" s="567"/>
      <c r="P5" s="567"/>
      <c r="Q5" s="697"/>
      <c r="V5" s="567"/>
      <c r="W5" s="567"/>
      <c r="X5" s="697"/>
      <c r="AC5" s="567"/>
      <c r="AD5" s="567"/>
      <c r="AO5" s="730"/>
      <c r="AT5" s="1162" t="s">
        <v>2</v>
      </c>
      <c r="AU5" s="1162"/>
      <c r="AV5" s="1162"/>
      <c r="AW5" s="1162"/>
      <c r="AX5" s="1162"/>
      <c r="AY5" s="1162"/>
      <c r="AZ5" s="1162"/>
      <c r="BA5" s="1162"/>
      <c r="BB5" s="1162"/>
      <c r="BC5" s="1162"/>
      <c r="BD5" s="1162"/>
      <c r="BE5" s="1162"/>
    </row>
    <row r="6" spans="1:161" ht="23.25" hidden="1" customHeight="1">
      <c r="J6" s="697"/>
      <c r="O6" s="567"/>
      <c r="P6" s="567"/>
      <c r="Q6" s="697"/>
      <c r="V6" s="567"/>
      <c r="W6" s="567"/>
      <c r="X6" s="697"/>
      <c r="AC6" s="567"/>
      <c r="AD6" s="567"/>
      <c r="AO6" s="730"/>
      <c r="AT6" s="731"/>
      <c r="AU6" s="731"/>
      <c r="AV6" s="731"/>
      <c r="AW6" s="731"/>
      <c r="AX6" s="731"/>
      <c r="AY6" s="731"/>
      <c r="AZ6" s="731"/>
      <c r="BA6" s="1015"/>
      <c r="BB6" s="731"/>
      <c r="BC6" s="738"/>
      <c r="BD6" s="738"/>
      <c r="BE6" s="738"/>
    </row>
    <row r="7" spans="1:161" ht="23.25" hidden="1" customHeight="1">
      <c r="J7" s="697"/>
      <c r="O7" s="567"/>
      <c r="P7" s="567"/>
      <c r="Q7" s="697"/>
      <c r="V7" s="567"/>
      <c r="W7" s="567"/>
      <c r="X7" s="697"/>
      <c r="AC7" s="567"/>
      <c r="AD7" s="567"/>
      <c r="AO7" s="730"/>
      <c r="AT7" s="731"/>
      <c r="AU7" s="731"/>
      <c r="AV7" s="731"/>
      <c r="AW7" s="731"/>
      <c r="AX7" s="731"/>
      <c r="AY7" s="731"/>
      <c r="AZ7" s="731"/>
      <c r="BA7" s="1015"/>
      <c r="BB7" s="731"/>
      <c r="BC7" s="738"/>
      <c r="BD7" s="738"/>
      <c r="BE7" s="738"/>
    </row>
    <row r="8" spans="1:161" ht="34.5" hidden="1" customHeight="1">
      <c r="J8" s="697"/>
      <c r="L8" s="567">
        <v>79518</v>
      </c>
      <c r="N8" s="567">
        <v>148974</v>
      </c>
      <c r="O8" s="567"/>
      <c r="P8" s="567"/>
      <c r="Q8" s="697"/>
      <c r="V8" s="567"/>
      <c r="W8" s="567"/>
      <c r="X8" s="697"/>
      <c r="AC8" s="567"/>
      <c r="AD8" s="567"/>
      <c r="AM8" s="612">
        <v>12379.207211999999</v>
      </c>
      <c r="AO8" s="730"/>
      <c r="AT8" s="731"/>
      <c r="AU8" s="731"/>
      <c r="AV8" s="731"/>
      <c r="AW8" s="731"/>
      <c r="AX8" s="731"/>
      <c r="AY8" s="731"/>
      <c r="AZ8" s="731"/>
      <c r="BA8" s="1015"/>
      <c r="BB8" s="731"/>
      <c r="BC8" s="738"/>
      <c r="BD8" s="738"/>
      <c r="BE8" s="738"/>
    </row>
    <row r="9" spans="1:161" ht="18.75" hidden="1" customHeight="1">
      <c r="J9" s="697"/>
      <c r="O9" s="567"/>
      <c r="P9" s="567"/>
      <c r="Q9" s="697"/>
      <c r="V9" s="567"/>
      <c r="W9" s="567"/>
      <c r="X9" s="697"/>
      <c r="AC9" s="567"/>
      <c r="AD9" s="567"/>
      <c r="AM9" s="612">
        <v>3957.4387900000002</v>
      </c>
      <c r="AO9" s="730"/>
      <c r="AT9" s="731"/>
      <c r="AU9" s="731"/>
      <c r="AV9" s="731"/>
      <c r="AW9" s="731"/>
      <c r="AX9" s="731"/>
      <c r="AY9" s="731"/>
      <c r="AZ9" s="731"/>
      <c r="BA9" s="1015"/>
      <c r="BB9" s="732"/>
      <c r="BC9" s="739"/>
      <c r="BD9" s="739"/>
      <c r="BE9" s="739"/>
    </row>
    <row r="10" spans="1:161" ht="27" customHeight="1">
      <c r="J10" s="697"/>
      <c r="O10" s="567"/>
      <c r="P10" s="567"/>
      <c r="Q10" s="697"/>
      <c r="V10" s="567"/>
      <c r="W10" s="567"/>
      <c r="X10" s="697"/>
      <c r="AC10" s="567"/>
      <c r="AD10" s="567"/>
      <c r="AE10" s="1019"/>
      <c r="AF10" s="1019"/>
      <c r="AG10" s="1019"/>
      <c r="AO10" s="733"/>
      <c r="AT10" s="732"/>
      <c r="AU10" s="732"/>
      <c r="AV10" s="732"/>
      <c r="AW10" s="732"/>
      <c r="AX10" s="732"/>
      <c r="AY10" s="732"/>
      <c r="AZ10" s="732"/>
      <c r="BA10" s="1016"/>
      <c r="BB10" s="1154" t="s">
        <v>1861</v>
      </c>
      <c r="BC10" s="1154"/>
      <c r="BD10" s="1154"/>
      <c r="BE10" s="1154"/>
    </row>
    <row r="11" spans="1:161" s="734" customFormat="1" ht="33" customHeight="1">
      <c r="A11" s="1163" t="s">
        <v>3</v>
      </c>
      <c r="B11" s="1156" t="s">
        <v>233</v>
      </c>
      <c r="C11" s="1153" t="s">
        <v>4</v>
      </c>
      <c r="D11" s="1153"/>
      <c r="E11" s="1153"/>
      <c r="F11" s="1153"/>
      <c r="G11" s="1153"/>
      <c r="H11" s="1153"/>
      <c r="I11" s="1153"/>
      <c r="J11" s="1153"/>
      <c r="K11" s="1153"/>
      <c r="L11" s="1153"/>
      <c r="M11" s="1153"/>
      <c r="N11" s="1153"/>
      <c r="O11" s="1153"/>
      <c r="P11" s="1153"/>
      <c r="Q11" s="1153"/>
      <c r="R11" s="1153"/>
      <c r="S11" s="1153"/>
      <c r="T11" s="1153"/>
      <c r="U11" s="1153"/>
      <c r="V11" s="1153"/>
      <c r="W11" s="1153"/>
      <c r="X11" s="1153"/>
      <c r="Y11" s="1153"/>
      <c r="Z11" s="1153"/>
      <c r="AA11" s="1153"/>
      <c r="AB11" s="1153"/>
      <c r="AC11" s="1153"/>
      <c r="AD11" s="1153"/>
      <c r="AE11" s="1152" t="s">
        <v>5</v>
      </c>
      <c r="AF11" s="1152"/>
      <c r="AG11" s="1152"/>
      <c r="AH11" s="1152"/>
      <c r="AI11" s="1152"/>
      <c r="AJ11" s="1152"/>
      <c r="AK11" s="1152"/>
      <c r="AL11" s="1152"/>
      <c r="AM11" s="1152"/>
      <c r="AN11" s="1152"/>
      <c r="AO11" s="1152"/>
      <c r="AP11" s="1152"/>
      <c r="AQ11" s="1152"/>
      <c r="AR11" s="1152"/>
      <c r="AS11" s="1152"/>
      <c r="AT11" s="1152"/>
      <c r="AU11" s="1152"/>
      <c r="AV11" s="1152"/>
      <c r="AW11" s="1152"/>
      <c r="AX11" s="1152"/>
      <c r="AY11" s="1152"/>
      <c r="AZ11" s="1152"/>
      <c r="BA11" s="1152"/>
      <c r="BB11" s="1152"/>
      <c r="BC11" s="1155" t="s">
        <v>52</v>
      </c>
      <c r="BD11" s="1155"/>
      <c r="BE11" s="1155"/>
      <c r="BF11" s="612"/>
      <c r="BG11" s="612"/>
      <c r="BH11" s="612"/>
      <c r="BI11" s="612"/>
      <c r="BJ11" s="612"/>
      <c r="BK11" s="612"/>
      <c r="BL11" s="612"/>
      <c r="BM11" s="612"/>
      <c r="BN11" s="612"/>
      <c r="BO11" s="612"/>
      <c r="BP11" s="612"/>
      <c r="BQ11" s="612"/>
      <c r="BR11" s="612"/>
      <c r="BS11" s="612"/>
      <c r="BT11" s="612"/>
      <c r="BU11" s="612"/>
      <c r="BV11" s="612"/>
      <c r="BW11" s="612"/>
      <c r="BX11" s="612"/>
      <c r="BY11" s="612"/>
      <c r="BZ11" s="612"/>
      <c r="CA11" s="612"/>
      <c r="CB11" s="612"/>
      <c r="CC11" s="612"/>
      <c r="CD11" s="612"/>
      <c r="CE11" s="612"/>
      <c r="CF11" s="612"/>
      <c r="CG11" s="612"/>
      <c r="CH11" s="612"/>
      <c r="CI11" s="612"/>
      <c r="CJ11" s="612"/>
      <c r="CK11" s="612"/>
      <c r="CL11" s="612"/>
      <c r="CM11" s="612"/>
      <c r="CN11" s="612"/>
      <c r="CO11" s="612"/>
      <c r="CP11" s="612"/>
      <c r="CQ11" s="612"/>
      <c r="CR11" s="612"/>
      <c r="CS11" s="612"/>
      <c r="CT11" s="612"/>
      <c r="CU11" s="612"/>
      <c r="CV11" s="612"/>
      <c r="CW11" s="612"/>
      <c r="CX11" s="612"/>
      <c r="CY11" s="612"/>
      <c r="CZ11" s="612"/>
      <c r="DA11" s="612"/>
      <c r="DB11" s="612"/>
      <c r="DC11" s="612"/>
      <c r="DD11" s="612"/>
      <c r="DE11" s="612"/>
      <c r="DF11" s="612"/>
      <c r="DG11" s="612"/>
      <c r="DH11" s="612"/>
      <c r="DI11" s="612"/>
      <c r="DJ11" s="612"/>
      <c r="DK11" s="612"/>
      <c r="DL11" s="612"/>
      <c r="DM11" s="612"/>
      <c r="DN11" s="612"/>
      <c r="DO11" s="612"/>
      <c r="DP11" s="612"/>
      <c r="DQ11" s="612"/>
      <c r="DR11" s="612"/>
      <c r="DS11" s="612"/>
      <c r="DT11" s="612"/>
      <c r="DU11" s="612"/>
      <c r="DV11" s="612"/>
      <c r="DW11" s="612"/>
      <c r="DX11" s="612"/>
      <c r="DY11" s="612"/>
      <c r="DZ11" s="612"/>
      <c r="EA11" s="612"/>
      <c r="EB11" s="612"/>
      <c r="EC11" s="612"/>
      <c r="ED11" s="612"/>
      <c r="EE11" s="612"/>
      <c r="EF11" s="612"/>
      <c r="EG11" s="612"/>
      <c r="EH11" s="612"/>
      <c r="EI11" s="612"/>
      <c r="EJ11" s="612"/>
      <c r="EK11" s="612"/>
      <c r="EL11" s="612"/>
      <c r="EM11" s="612"/>
      <c r="EN11" s="612"/>
      <c r="EO11" s="612"/>
      <c r="EP11" s="612"/>
      <c r="EQ11" s="612"/>
      <c r="ER11" s="612"/>
      <c r="ES11" s="612"/>
      <c r="ET11" s="612"/>
      <c r="EU11" s="612"/>
      <c r="EV11" s="612"/>
      <c r="EW11" s="612"/>
      <c r="EX11" s="612"/>
      <c r="EY11" s="612"/>
      <c r="EZ11" s="612"/>
      <c r="FA11" s="612"/>
      <c r="FB11" s="612"/>
      <c r="FC11" s="612"/>
      <c r="FD11" s="612"/>
      <c r="FE11" s="612"/>
    </row>
    <row r="12" spans="1:161" s="735" customFormat="1" ht="38.25" customHeight="1">
      <c r="A12" s="1163"/>
      <c r="B12" s="1157"/>
      <c r="C12" s="1153" t="s">
        <v>153</v>
      </c>
      <c r="D12" s="1153" t="s">
        <v>158</v>
      </c>
      <c r="E12" s="1153"/>
      <c r="F12" s="1153"/>
      <c r="G12" s="1153"/>
      <c r="H12" s="1153"/>
      <c r="I12" s="1153"/>
      <c r="J12" s="1153" t="s">
        <v>1629</v>
      </c>
      <c r="K12" s="1153"/>
      <c r="L12" s="1153"/>
      <c r="M12" s="1153"/>
      <c r="N12" s="1153"/>
      <c r="O12" s="1153"/>
      <c r="P12" s="1153"/>
      <c r="Q12" s="1153" t="s">
        <v>1630</v>
      </c>
      <c r="R12" s="1153"/>
      <c r="S12" s="1153"/>
      <c r="T12" s="1153"/>
      <c r="U12" s="1153"/>
      <c r="V12" s="1153"/>
      <c r="W12" s="1153"/>
      <c r="X12" s="1153" t="s">
        <v>2189</v>
      </c>
      <c r="Y12" s="1153"/>
      <c r="Z12" s="1153"/>
      <c r="AA12" s="1153"/>
      <c r="AB12" s="1153"/>
      <c r="AC12" s="1153"/>
      <c r="AD12" s="1153"/>
      <c r="AE12" s="1152" t="s">
        <v>153</v>
      </c>
      <c r="AF12" s="1152" t="s">
        <v>158</v>
      </c>
      <c r="AG12" s="1152"/>
      <c r="AH12" s="1152" t="s">
        <v>1629</v>
      </c>
      <c r="AI12" s="1152"/>
      <c r="AJ12" s="1152"/>
      <c r="AK12" s="1152"/>
      <c r="AL12" s="1152"/>
      <c r="AM12" s="1152"/>
      <c r="AN12" s="1152"/>
      <c r="AO12" s="1152" t="s">
        <v>1630</v>
      </c>
      <c r="AP12" s="1152"/>
      <c r="AQ12" s="1152"/>
      <c r="AR12" s="1152"/>
      <c r="AS12" s="1152"/>
      <c r="AT12" s="1152"/>
      <c r="AU12" s="1152"/>
      <c r="AV12" s="1152" t="s">
        <v>2189</v>
      </c>
      <c r="AW12" s="1152"/>
      <c r="AX12" s="1152"/>
      <c r="AY12" s="1152"/>
      <c r="AZ12" s="1152"/>
      <c r="BA12" s="1152"/>
      <c r="BB12" s="1152"/>
      <c r="BC12" s="1155" t="s">
        <v>153</v>
      </c>
      <c r="BD12" s="1155" t="s">
        <v>158</v>
      </c>
      <c r="BE12" s="1155"/>
      <c r="BF12" s="612"/>
      <c r="BG12" s="612"/>
      <c r="BH12" s="612"/>
      <c r="BI12" s="612"/>
      <c r="BJ12" s="612"/>
      <c r="BK12" s="612"/>
      <c r="BL12" s="612"/>
      <c r="BM12" s="612"/>
      <c r="BN12" s="612"/>
      <c r="BO12" s="612"/>
      <c r="BP12" s="612"/>
      <c r="BQ12" s="612"/>
      <c r="BR12" s="612"/>
      <c r="BS12" s="612"/>
      <c r="BT12" s="612"/>
      <c r="BU12" s="612"/>
      <c r="BV12" s="612"/>
      <c r="BW12" s="612"/>
      <c r="BX12" s="612"/>
      <c r="BY12" s="612"/>
      <c r="BZ12" s="612"/>
      <c r="CA12" s="612"/>
      <c r="CB12" s="612"/>
      <c r="CC12" s="612"/>
      <c r="CD12" s="612"/>
      <c r="CE12" s="612"/>
      <c r="CF12" s="612"/>
      <c r="CG12" s="612"/>
      <c r="CH12" s="612"/>
      <c r="CI12" s="612"/>
      <c r="CJ12" s="612"/>
      <c r="CK12" s="612"/>
      <c r="CL12" s="612"/>
      <c r="CM12" s="612"/>
      <c r="CN12" s="612"/>
      <c r="CO12" s="612"/>
      <c r="CP12" s="612"/>
      <c r="CQ12" s="612"/>
      <c r="CR12" s="612"/>
      <c r="CS12" s="612"/>
      <c r="CT12" s="612"/>
      <c r="CU12" s="612"/>
      <c r="CV12" s="612"/>
      <c r="CW12" s="612"/>
      <c r="CX12" s="612"/>
      <c r="CY12" s="612"/>
      <c r="CZ12" s="612"/>
      <c r="DA12" s="612"/>
      <c r="DB12" s="612"/>
      <c r="DC12" s="612"/>
      <c r="DD12" s="612"/>
      <c r="DE12" s="612"/>
      <c r="DF12" s="612"/>
      <c r="DG12" s="612"/>
      <c r="DH12" s="612"/>
      <c r="DI12" s="612"/>
      <c r="DJ12" s="612"/>
      <c r="DK12" s="612"/>
      <c r="DL12" s="612"/>
      <c r="DM12" s="612"/>
      <c r="DN12" s="612"/>
      <c r="DO12" s="612"/>
      <c r="DP12" s="612"/>
      <c r="DQ12" s="612"/>
      <c r="DR12" s="612"/>
      <c r="DS12" s="612"/>
      <c r="DT12" s="612"/>
      <c r="DU12" s="612"/>
      <c r="DV12" s="612"/>
      <c r="DW12" s="612"/>
      <c r="DX12" s="612"/>
      <c r="DY12" s="612"/>
      <c r="DZ12" s="612"/>
      <c r="EA12" s="612"/>
      <c r="EB12" s="612"/>
      <c r="EC12" s="612"/>
      <c r="ED12" s="612"/>
      <c r="EE12" s="612"/>
      <c r="EF12" s="612"/>
      <c r="EG12" s="612"/>
      <c r="EH12" s="612"/>
      <c r="EI12" s="612"/>
      <c r="EJ12" s="612"/>
      <c r="EK12" s="612"/>
      <c r="EL12" s="612"/>
      <c r="EM12" s="612"/>
      <c r="EN12" s="612"/>
      <c r="EO12" s="612"/>
      <c r="EP12" s="612"/>
      <c r="EQ12" s="612"/>
      <c r="ER12" s="612"/>
      <c r="ES12" s="612"/>
      <c r="ET12" s="612"/>
      <c r="EU12" s="612"/>
      <c r="EV12" s="612"/>
      <c r="EW12" s="612"/>
      <c r="EX12" s="612"/>
      <c r="EY12" s="612"/>
      <c r="EZ12" s="612"/>
      <c r="FA12" s="612"/>
      <c r="FB12" s="612"/>
      <c r="FC12" s="612"/>
      <c r="FD12" s="612"/>
      <c r="FE12" s="612"/>
    </row>
    <row r="13" spans="1:161" s="735" customFormat="1" ht="36" customHeight="1">
      <c r="A13" s="1163"/>
      <c r="B13" s="1157"/>
      <c r="C13" s="1153"/>
      <c r="D13" s="1153" t="s">
        <v>1631</v>
      </c>
      <c r="E13" s="1153" t="s">
        <v>1633</v>
      </c>
      <c r="F13" s="1153"/>
      <c r="G13" s="1153" t="s">
        <v>1632</v>
      </c>
      <c r="H13" s="1153" t="s">
        <v>1633</v>
      </c>
      <c r="I13" s="1153"/>
      <c r="J13" s="1153" t="s">
        <v>153</v>
      </c>
      <c r="K13" s="1153" t="s">
        <v>30</v>
      </c>
      <c r="L13" s="1153"/>
      <c r="M13" s="1153"/>
      <c r="N13" s="1153" t="s">
        <v>1632</v>
      </c>
      <c r="O13" s="1153"/>
      <c r="P13" s="1153"/>
      <c r="Q13" s="1153" t="s">
        <v>153</v>
      </c>
      <c r="R13" s="1153" t="s">
        <v>30</v>
      </c>
      <c r="S13" s="1153"/>
      <c r="T13" s="1153"/>
      <c r="U13" s="1153" t="s">
        <v>1632</v>
      </c>
      <c r="V13" s="1153"/>
      <c r="W13" s="1153"/>
      <c r="X13" s="1153" t="s">
        <v>153</v>
      </c>
      <c r="Y13" s="1153" t="s">
        <v>30</v>
      </c>
      <c r="Z13" s="1153"/>
      <c r="AA13" s="1153"/>
      <c r="AB13" s="1153" t="s">
        <v>1632</v>
      </c>
      <c r="AC13" s="1153"/>
      <c r="AD13" s="1153"/>
      <c r="AE13" s="1152"/>
      <c r="AF13" s="1152" t="s">
        <v>1631</v>
      </c>
      <c r="AG13" s="1152" t="s">
        <v>1632</v>
      </c>
      <c r="AH13" s="1152" t="s">
        <v>153</v>
      </c>
      <c r="AI13" s="1152" t="s">
        <v>30</v>
      </c>
      <c r="AJ13" s="1152"/>
      <c r="AK13" s="1152"/>
      <c r="AL13" s="1152" t="s">
        <v>1632</v>
      </c>
      <c r="AM13" s="1152"/>
      <c r="AN13" s="1152"/>
      <c r="AO13" s="1152" t="s">
        <v>153</v>
      </c>
      <c r="AP13" s="1152" t="s">
        <v>30</v>
      </c>
      <c r="AQ13" s="1152"/>
      <c r="AR13" s="1152"/>
      <c r="AS13" s="1152" t="s">
        <v>1632</v>
      </c>
      <c r="AT13" s="1152"/>
      <c r="AU13" s="1152"/>
      <c r="AV13" s="1152" t="s">
        <v>153</v>
      </c>
      <c r="AW13" s="1152" t="s">
        <v>30</v>
      </c>
      <c r="AX13" s="1152"/>
      <c r="AY13" s="1152"/>
      <c r="AZ13" s="1152" t="s">
        <v>1632</v>
      </c>
      <c r="BA13" s="1152"/>
      <c r="BB13" s="1152"/>
      <c r="BC13" s="1155"/>
      <c r="BD13" s="1155" t="s">
        <v>30</v>
      </c>
      <c r="BE13" s="1155" t="s">
        <v>31</v>
      </c>
      <c r="BF13" s="612"/>
      <c r="BG13" s="612"/>
      <c r="BH13" s="612"/>
      <c r="BI13" s="612"/>
      <c r="BJ13" s="612"/>
      <c r="BK13" s="612"/>
      <c r="BL13" s="612"/>
      <c r="BM13" s="612"/>
      <c r="BN13" s="612"/>
      <c r="BO13" s="612"/>
      <c r="BP13" s="612"/>
      <c r="BQ13" s="612"/>
      <c r="BR13" s="612"/>
      <c r="BS13" s="612"/>
      <c r="BT13" s="612"/>
      <c r="BU13" s="612"/>
      <c r="BV13" s="612"/>
      <c r="BW13" s="612"/>
      <c r="BX13" s="612"/>
      <c r="BY13" s="612"/>
      <c r="BZ13" s="612"/>
      <c r="CA13" s="612"/>
      <c r="CB13" s="612"/>
      <c r="CC13" s="612"/>
      <c r="CD13" s="612"/>
      <c r="CE13" s="612"/>
      <c r="CF13" s="612"/>
      <c r="CG13" s="612"/>
      <c r="CH13" s="612"/>
      <c r="CI13" s="612"/>
      <c r="CJ13" s="612"/>
      <c r="CK13" s="612"/>
      <c r="CL13" s="612"/>
      <c r="CM13" s="612"/>
      <c r="CN13" s="612"/>
      <c r="CO13" s="612"/>
      <c r="CP13" s="612"/>
      <c r="CQ13" s="612"/>
      <c r="CR13" s="612"/>
      <c r="CS13" s="612"/>
      <c r="CT13" s="612"/>
      <c r="CU13" s="612"/>
      <c r="CV13" s="612"/>
      <c r="CW13" s="612"/>
      <c r="CX13" s="612"/>
      <c r="CY13" s="612"/>
      <c r="CZ13" s="612"/>
      <c r="DA13" s="612"/>
      <c r="DB13" s="612"/>
      <c r="DC13" s="612"/>
      <c r="DD13" s="612"/>
      <c r="DE13" s="612"/>
      <c r="DF13" s="612"/>
      <c r="DG13" s="612"/>
      <c r="DH13" s="612"/>
      <c r="DI13" s="612"/>
      <c r="DJ13" s="612"/>
      <c r="DK13" s="612"/>
      <c r="DL13" s="612"/>
      <c r="DM13" s="612"/>
      <c r="DN13" s="612"/>
      <c r="DO13" s="612"/>
      <c r="DP13" s="612"/>
      <c r="DQ13" s="612"/>
      <c r="DR13" s="612"/>
      <c r="DS13" s="612"/>
      <c r="DT13" s="612"/>
      <c r="DU13" s="612"/>
      <c r="DV13" s="612"/>
      <c r="DW13" s="612"/>
      <c r="DX13" s="612"/>
      <c r="DY13" s="612"/>
      <c r="DZ13" s="612"/>
      <c r="EA13" s="612"/>
      <c r="EB13" s="612"/>
      <c r="EC13" s="612"/>
      <c r="ED13" s="612"/>
      <c r="EE13" s="612"/>
      <c r="EF13" s="612"/>
      <c r="EG13" s="612"/>
      <c r="EH13" s="612"/>
      <c r="EI13" s="612"/>
      <c r="EJ13" s="612"/>
      <c r="EK13" s="612"/>
      <c r="EL13" s="612"/>
      <c r="EM13" s="612"/>
      <c r="EN13" s="612"/>
      <c r="EO13" s="612"/>
      <c r="EP13" s="612"/>
      <c r="EQ13" s="612"/>
      <c r="ER13" s="612"/>
      <c r="ES13" s="612"/>
      <c r="ET13" s="612"/>
      <c r="EU13" s="612"/>
      <c r="EV13" s="612"/>
      <c r="EW13" s="612"/>
      <c r="EX13" s="612"/>
      <c r="EY13" s="612"/>
      <c r="EZ13" s="612"/>
      <c r="FA13" s="612"/>
      <c r="FB13" s="612"/>
      <c r="FC13" s="612"/>
      <c r="FD13" s="612"/>
      <c r="FE13" s="612"/>
    </row>
    <row r="14" spans="1:161" ht="26.25" customHeight="1">
      <c r="A14" s="1163"/>
      <c r="B14" s="1157"/>
      <c r="C14" s="1153"/>
      <c r="D14" s="1153"/>
      <c r="E14" s="1153"/>
      <c r="F14" s="1153"/>
      <c r="G14" s="1153"/>
      <c r="H14" s="1153"/>
      <c r="I14" s="1153"/>
      <c r="J14" s="1153"/>
      <c r="K14" s="1153" t="s">
        <v>153</v>
      </c>
      <c r="L14" s="1153" t="s">
        <v>1633</v>
      </c>
      <c r="M14" s="1153"/>
      <c r="N14" s="1153" t="s">
        <v>153</v>
      </c>
      <c r="O14" s="1153" t="s">
        <v>1633</v>
      </c>
      <c r="P14" s="1153"/>
      <c r="Q14" s="1153"/>
      <c r="R14" s="1153" t="s">
        <v>153</v>
      </c>
      <c r="S14" s="1153" t="s">
        <v>1633</v>
      </c>
      <c r="T14" s="1153"/>
      <c r="U14" s="1153" t="s">
        <v>153</v>
      </c>
      <c r="V14" s="1153" t="s">
        <v>1633</v>
      </c>
      <c r="W14" s="1153"/>
      <c r="X14" s="1153"/>
      <c r="Y14" s="1153" t="s">
        <v>153</v>
      </c>
      <c r="Z14" s="1153" t="s">
        <v>1633</v>
      </c>
      <c r="AA14" s="1153"/>
      <c r="AB14" s="1153" t="s">
        <v>153</v>
      </c>
      <c r="AC14" s="1153" t="s">
        <v>1633</v>
      </c>
      <c r="AD14" s="1153"/>
      <c r="AE14" s="1152"/>
      <c r="AF14" s="1152"/>
      <c r="AG14" s="1152"/>
      <c r="AH14" s="1152"/>
      <c r="AI14" s="1152" t="s">
        <v>153</v>
      </c>
      <c r="AJ14" s="1152" t="s">
        <v>1633</v>
      </c>
      <c r="AK14" s="1152"/>
      <c r="AL14" s="1152" t="s">
        <v>153</v>
      </c>
      <c r="AM14" s="1152" t="s">
        <v>1633</v>
      </c>
      <c r="AN14" s="1152"/>
      <c r="AO14" s="1152"/>
      <c r="AP14" s="1152" t="s">
        <v>153</v>
      </c>
      <c r="AQ14" s="1152" t="s">
        <v>1633</v>
      </c>
      <c r="AR14" s="1152"/>
      <c r="AS14" s="1152" t="s">
        <v>153</v>
      </c>
      <c r="AT14" s="1152" t="s">
        <v>1633</v>
      </c>
      <c r="AU14" s="1152"/>
      <c r="AV14" s="1152"/>
      <c r="AW14" s="1152" t="s">
        <v>153</v>
      </c>
      <c r="AX14" s="1152" t="s">
        <v>1633</v>
      </c>
      <c r="AY14" s="1152"/>
      <c r="AZ14" s="1152" t="s">
        <v>153</v>
      </c>
      <c r="BA14" s="1152" t="s">
        <v>1633</v>
      </c>
      <c r="BB14" s="1152"/>
      <c r="BC14" s="1155"/>
      <c r="BD14" s="1155"/>
      <c r="BE14" s="1155"/>
    </row>
    <row r="15" spans="1:161" ht="46.5" customHeight="1">
      <c r="A15" s="1163"/>
      <c r="B15" s="1158"/>
      <c r="C15" s="1153"/>
      <c r="D15" s="1153"/>
      <c r="E15" s="986" t="s">
        <v>1912</v>
      </c>
      <c r="F15" s="986" t="s">
        <v>1913</v>
      </c>
      <c r="G15" s="1153"/>
      <c r="H15" s="986" t="s">
        <v>1912</v>
      </c>
      <c r="I15" s="986" t="s">
        <v>1913</v>
      </c>
      <c r="J15" s="1153"/>
      <c r="K15" s="1153"/>
      <c r="L15" s="986" t="s">
        <v>1912</v>
      </c>
      <c r="M15" s="986" t="s">
        <v>1913</v>
      </c>
      <c r="N15" s="1153"/>
      <c r="O15" s="986" t="s">
        <v>1912</v>
      </c>
      <c r="P15" s="986" t="s">
        <v>1913</v>
      </c>
      <c r="Q15" s="1153"/>
      <c r="R15" s="1153"/>
      <c r="S15" s="986" t="s">
        <v>1912</v>
      </c>
      <c r="T15" s="986" t="s">
        <v>1913</v>
      </c>
      <c r="U15" s="1153"/>
      <c r="V15" s="986" t="s">
        <v>1912</v>
      </c>
      <c r="W15" s="986" t="s">
        <v>1913</v>
      </c>
      <c r="X15" s="1153"/>
      <c r="Y15" s="1153"/>
      <c r="Z15" s="986" t="s">
        <v>1912</v>
      </c>
      <c r="AA15" s="986" t="s">
        <v>1913</v>
      </c>
      <c r="AB15" s="1153"/>
      <c r="AC15" s="986" t="s">
        <v>1912</v>
      </c>
      <c r="AD15" s="986" t="s">
        <v>1913</v>
      </c>
      <c r="AE15" s="1152"/>
      <c r="AF15" s="1152"/>
      <c r="AG15" s="1152"/>
      <c r="AH15" s="1152"/>
      <c r="AI15" s="1152"/>
      <c r="AJ15" s="987" t="s">
        <v>1912</v>
      </c>
      <c r="AK15" s="987" t="s">
        <v>1913</v>
      </c>
      <c r="AL15" s="1152"/>
      <c r="AM15" s="987" t="s">
        <v>1912</v>
      </c>
      <c r="AN15" s="987" t="s">
        <v>1913</v>
      </c>
      <c r="AO15" s="1152"/>
      <c r="AP15" s="1152"/>
      <c r="AQ15" s="987" t="s">
        <v>1912</v>
      </c>
      <c r="AR15" s="987" t="s">
        <v>1913</v>
      </c>
      <c r="AS15" s="1152"/>
      <c r="AT15" s="987" t="s">
        <v>1912</v>
      </c>
      <c r="AU15" s="987" t="s">
        <v>1913</v>
      </c>
      <c r="AV15" s="1152"/>
      <c r="AW15" s="1152"/>
      <c r="AX15" s="987" t="s">
        <v>1912</v>
      </c>
      <c r="AY15" s="987" t="s">
        <v>1913</v>
      </c>
      <c r="AZ15" s="1152"/>
      <c r="BA15" s="1017" t="s">
        <v>1912</v>
      </c>
      <c r="BB15" s="987" t="s">
        <v>1913</v>
      </c>
      <c r="BC15" s="1155"/>
      <c r="BD15" s="1155"/>
      <c r="BE15" s="1155"/>
    </row>
    <row r="16" spans="1:161" ht="34.5" hidden="1" customHeight="1">
      <c r="A16" s="698"/>
      <c r="B16" s="987"/>
      <c r="C16" s="988"/>
      <c r="D16" s="988"/>
      <c r="E16" s="988"/>
      <c r="F16" s="988"/>
      <c r="G16" s="988"/>
      <c r="H16" s="988"/>
      <c r="I16" s="988"/>
      <c r="J16" s="988"/>
      <c r="K16" s="988"/>
      <c r="L16" s="988">
        <v>79518</v>
      </c>
      <c r="M16" s="988"/>
      <c r="N16" s="988">
        <v>148974</v>
      </c>
      <c r="O16" s="989"/>
      <c r="P16" s="989"/>
      <c r="Q16" s="988"/>
      <c r="R16" s="988"/>
      <c r="S16" s="988">
        <v>95860</v>
      </c>
      <c r="T16" s="988"/>
      <c r="U16" s="988"/>
      <c r="V16" s="989">
        <v>27833</v>
      </c>
      <c r="W16" s="989"/>
      <c r="X16" s="988"/>
      <c r="Y16" s="988"/>
      <c r="Z16" s="988">
        <v>192739</v>
      </c>
      <c r="AA16" s="988"/>
      <c r="AB16" s="988"/>
      <c r="AC16" s="989">
        <v>204227</v>
      </c>
      <c r="AD16" s="989"/>
      <c r="AE16" s="990"/>
      <c r="AF16" s="990"/>
      <c r="AG16" s="990"/>
      <c r="AH16" s="990"/>
      <c r="AI16" s="990"/>
      <c r="AJ16" s="990"/>
      <c r="AK16" s="990"/>
      <c r="AL16" s="990"/>
      <c r="AM16" s="990"/>
      <c r="AN16" s="990"/>
      <c r="AO16" s="990"/>
      <c r="AP16" s="990"/>
      <c r="AQ16" s="990"/>
      <c r="AR16" s="990"/>
      <c r="AS16" s="990"/>
      <c r="AT16" s="991"/>
      <c r="AU16" s="990"/>
      <c r="AV16" s="990"/>
      <c r="AW16" s="990"/>
      <c r="AX16" s="990"/>
      <c r="AY16" s="990"/>
      <c r="AZ16" s="990"/>
      <c r="BA16" s="1018"/>
      <c r="BB16" s="990"/>
      <c r="BC16" s="992"/>
      <c r="BD16" s="992"/>
      <c r="BE16" s="992"/>
      <c r="BF16" s="734"/>
      <c r="BG16" s="734"/>
      <c r="BH16" s="734"/>
      <c r="BI16" s="734"/>
      <c r="BJ16" s="734"/>
      <c r="BK16" s="734"/>
      <c r="BL16" s="734"/>
      <c r="BM16" s="734"/>
      <c r="BN16" s="734"/>
      <c r="BO16" s="734"/>
      <c r="BP16" s="734"/>
      <c r="BQ16" s="734"/>
      <c r="BR16" s="734"/>
      <c r="BS16" s="734"/>
      <c r="BT16" s="734"/>
      <c r="BU16" s="734"/>
      <c r="BV16" s="734"/>
      <c r="BW16" s="734"/>
      <c r="BX16" s="734"/>
      <c r="BY16" s="734"/>
      <c r="BZ16" s="734"/>
      <c r="CA16" s="734"/>
      <c r="CB16" s="734"/>
      <c r="CC16" s="734"/>
      <c r="CD16" s="734"/>
      <c r="CE16" s="734"/>
      <c r="CF16" s="734"/>
      <c r="CG16" s="734"/>
      <c r="CH16" s="734"/>
      <c r="CI16" s="734"/>
      <c r="CJ16" s="734"/>
      <c r="CK16" s="734"/>
      <c r="CL16" s="734"/>
      <c r="CM16" s="734"/>
      <c r="CN16" s="734"/>
      <c r="CO16" s="734"/>
      <c r="CP16" s="734"/>
      <c r="CQ16" s="734"/>
      <c r="CR16" s="734"/>
      <c r="CS16" s="734"/>
      <c r="CT16" s="734"/>
      <c r="CU16" s="734"/>
      <c r="CV16" s="734"/>
      <c r="CW16" s="734"/>
      <c r="CX16" s="734"/>
      <c r="CY16" s="734"/>
      <c r="CZ16" s="734"/>
      <c r="DA16" s="734"/>
      <c r="DB16" s="734"/>
      <c r="DC16" s="734"/>
      <c r="DD16" s="734"/>
      <c r="DE16" s="734"/>
      <c r="DF16" s="734"/>
      <c r="DG16" s="734"/>
      <c r="DH16" s="734"/>
      <c r="DI16" s="734"/>
      <c r="DJ16" s="734"/>
      <c r="DK16" s="734"/>
      <c r="DL16" s="734"/>
      <c r="DM16" s="734"/>
      <c r="DN16" s="734"/>
      <c r="DO16" s="734"/>
      <c r="DP16" s="734"/>
      <c r="DQ16" s="734"/>
      <c r="DR16" s="734"/>
      <c r="DS16" s="734"/>
      <c r="DT16" s="734"/>
      <c r="DU16" s="734"/>
      <c r="DV16" s="734"/>
      <c r="DW16" s="734"/>
      <c r="DX16" s="734"/>
      <c r="DY16" s="734"/>
      <c r="DZ16" s="734"/>
      <c r="EA16" s="734"/>
      <c r="EB16" s="734"/>
      <c r="EC16" s="734"/>
      <c r="ED16" s="734"/>
      <c r="EE16" s="734"/>
      <c r="EF16" s="734"/>
      <c r="EG16" s="734"/>
      <c r="EH16" s="734"/>
      <c r="EI16" s="734"/>
      <c r="EJ16" s="734"/>
      <c r="EK16" s="734"/>
      <c r="EL16" s="734"/>
      <c r="EM16" s="734"/>
      <c r="EN16" s="734"/>
      <c r="EO16" s="734"/>
      <c r="EP16" s="734"/>
      <c r="EQ16" s="734"/>
      <c r="ER16" s="734"/>
      <c r="ES16" s="734"/>
      <c r="ET16" s="734"/>
      <c r="EU16" s="734"/>
      <c r="EV16" s="734"/>
      <c r="EW16" s="734"/>
      <c r="EX16" s="734"/>
      <c r="EY16" s="734"/>
      <c r="EZ16" s="734"/>
      <c r="FA16" s="734"/>
      <c r="FB16" s="734"/>
      <c r="FC16" s="734"/>
      <c r="FD16" s="734"/>
      <c r="FE16" s="734"/>
    </row>
    <row r="17" spans="1:161" s="735" customFormat="1" ht="34.5" customHeight="1">
      <c r="A17" s="698"/>
      <c r="B17" s="1000" t="s">
        <v>154</v>
      </c>
      <c r="C17" s="1021">
        <v>816634.5</v>
      </c>
      <c r="D17" s="1021">
        <v>435600.5</v>
      </c>
      <c r="E17" s="1021">
        <v>365600.5</v>
      </c>
      <c r="F17" s="1021">
        <v>70000</v>
      </c>
      <c r="G17" s="1021">
        <v>381034</v>
      </c>
      <c r="H17" s="1021">
        <v>381034</v>
      </c>
      <c r="I17" s="1021">
        <v>0</v>
      </c>
      <c r="J17" s="1021">
        <v>228492</v>
      </c>
      <c r="K17" s="1021">
        <v>79518</v>
      </c>
      <c r="L17" s="1021">
        <v>79518</v>
      </c>
      <c r="M17" s="1021">
        <v>0</v>
      </c>
      <c r="N17" s="1021">
        <v>148974</v>
      </c>
      <c r="O17" s="1021">
        <v>148974</v>
      </c>
      <c r="P17" s="1021">
        <v>0</v>
      </c>
      <c r="Q17" s="1021">
        <v>193692.5</v>
      </c>
      <c r="R17" s="1021">
        <v>165859.5</v>
      </c>
      <c r="S17" s="1021">
        <v>95859.5</v>
      </c>
      <c r="T17" s="1021">
        <v>70000</v>
      </c>
      <c r="U17" s="1021">
        <v>27833</v>
      </c>
      <c r="V17" s="1021">
        <v>27833</v>
      </c>
      <c r="W17" s="1021">
        <v>0</v>
      </c>
      <c r="X17" s="1021">
        <v>394000</v>
      </c>
      <c r="Y17" s="1021">
        <v>190223</v>
      </c>
      <c r="Z17" s="1021">
        <v>190223</v>
      </c>
      <c r="AA17" s="1021">
        <v>0</v>
      </c>
      <c r="AB17" s="1021">
        <v>204227</v>
      </c>
      <c r="AC17" s="1021">
        <v>204227</v>
      </c>
      <c r="AD17" s="1021">
        <v>0</v>
      </c>
      <c r="AE17" s="1021">
        <v>857902.73038199998</v>
      </c>
      <c r="AF17" s="1021">
        <v>661535.51915800001</v>
      </c>
      <c r="AG17" s="1021">
        <v>196367.211224</v>
      </c>
      <c r="AH17" s="1021">
        <v>257636.44304600003</v>
      </c>
      <c r="AI17" s="1021">
        <v>173354.44621400003</v>
      </c>
      <c r="AJ17" s="1021">
        <v>173354.44621400003</v>
      </c>
      <c r="AK17" s="1021">
        <v>0</v>
      </c>
      <c r="AL17" s="1021">
        <v>84281.996832000004</v>
      </c>
      <c r="AM17" s="1021">
        <v>84281.996832000004</v>
      </c>
      <c r="AN17" s="1021">
        <v>0</v>
      </c>
      <c r="AO17" s="1021">
        <v>255975.07958600001</v>
      </c>
      <c r="AP17" s="1021">
        <v>234594.980645</v>
      </c>
      <c r="AQ17" s="1021">
        <v>155685.91344500001</v>
      </c>
      <c r="AR17" s="1021">
        <v>78909.06719999999</v>
      </c>
      <c r="AS17" s="1021">
        <v>21380.098941</v>
      </c>
      <c r="AT17" s="1021">
        <v>21380.098941</v>
      </c>
      <c r="AU17" s="1021">
        <v>0</v>
      </c>
      <c r="AV17" s="1021">
        <v>344291.20775</v>
      </c>
      <c r="AW17" s="1021">
        <v>253586.09229900001</v>
      </c>
      <c r="AX17" s="1021">
        <v>253586.09229900001</v>
      </c>
      <c r="AY17" s="1021">
        <v>0</v>
      </c>
      <c r="AZ17" s="1021">
        <v>90705.115450999991</v>
      </c>
      <c r="BA17" s="1021">
        <v>90705.115450999991</v>
      </c>
      <c r="BB17" s="993">
        <v>0</v>
      </c>
      <c r="BC17" s="994">
        <v>1.0505345174395644</v>
      </c>
      <c r="BD17" s="994">
        <v>1.5186748388902216</v>
      </c>
      <c r="BE17" s="994">
        <v>0.5153535149724171</v>
      </c>
    </row>
    <row r="18" spans="1:161" s="735" customFormat="1" ht="34.5" customHeight="1">
      <c r="A18" s="698" t="s">
        <v>14</v>
      </c>
      <c r="B18" s="1000" t="s">
        <v>1634</v>
      </c>
      <c r="C18" s="1021">
        <v>89528</v>
      </c>
      <c r="D18" s="1021">
        <v>5640</v>
      </c>
      <c r="E18" s="1021">
        <v>5139.5</v>
      </c>
      <c r="F18" s="1021">
        <v>500.5</v>
      </c>
      <c r="G18" s="1021">
        <v>83888</v>
      </c>
      <c r="H18" s="1021">
        <v>83888</v>
      </c>
      <c r="I18" s="1021">
        <v>0</v>
      </c>
      <c r="J18" s="1021">
        <v>25847</v>
      </c>
      <c r="K18" s="1021">
        <v>3140</v>
      </c>
      <c r="L18" s="1021">
        <v>3140</v>
      </c>
      <c r="M18" s="1021">
        <v>0</v>
      </c>
      <c r="N18" s="1021">
        <v>22707</v>
      </c>
      <c r="O18" s="1021">
        <v>22707</v>
      </c>
      <c r="P18" s="1021">
        <v>0</v>
      </c>
      <c r="Q18" s="1021">
        <v>11536</v>
      </c>
      <c r="R18" s="1021">
        <v>2500</v>
      </c>
      <c r="S18" s="1021">
        <v>1999.5</v>
      </c>
      <c r="T18" s="1021">
        <v>500.5</v>
      </c>
      <c r="U18" s="1021">
        <v>9036</v>
      </c>
      <c r="V18" s="1021">
        <v>9036</v>
      </c>
      <c r="W18" s="1021">
        <v>0</v>
      </c>
      <c r="X18" s="1021">
        <v>51695</v>
      </c>
      <c r="Y18" s="1021">
        <v>0</v>
      </c>
      <c r="Z18" s="1021">
        <v>0</v>
      </c>
      <c r="AA18" s="1021">
        <v>0</v>
      </c>
      <c r="AB18" s="1021">
        <v>52145</v>
      </c>
      <c r="AC18" s="1021">
        <v>52145</v>
      </c>
      <c r="AD18" s="1021">
        <v>0</v>
      </c>
      <c r="AE18" s="1021">
        <v>73004.923949000004</v>
      </c>
      <c r="AF18" s="1021">
        <v>3708.4579999999996</v>
      </c>
      <c r="AG18" s="1021">
        <v>69296.465949000005</v>
      </c>
      <c r="AH18" s="1021">
        <v>22274.627699999997</v>
      </c>
      <c r="AI18" s="1021">
        <v>2715.1109999999999</v>
      </c>
      <c r="AJ18" s="1021">
        <v>2715.1109999999999</v>
      </c>
      <c r="AK18" s="1021">
        <v>0</v>
      </c>
      <c r="AL18" s="1021">
        <v>19559.516699999996</v>
      </c>
      <c r="AM18" s="1021">
        <v>19559.516699999996</v>
      </c>
      <c r="AN18" s="1021">
        <v>0</v>
      </c>
      <c r="AO18" s="1021">
        <v>10567.422000000002</v>
      </c>
      <c r="AP18" s="1021">
        <v>993.34699999999998</v>
      </c>
      <c r="AQ18" s="1021">
        <v>993.34699999999998</v>
      </c>
      <c r="AR18" s="1021">
        <v>0</v>
      </c>
      <c r="AS18" s="1021">
        <v>9574.0750000000007</v>
      </c>
      <c r="AT18" s="1021">
        <v>9574.0750000000007</v>
      </c>
      <c r="AU18" s="1021">
        <v>0</v>
      </c>
      <c r="AV18" s="1021">
        <v>40162.874249</v>
      </c>
      <c r="AW18" s="1021">
        <v>0</v>
      </c>
      <c r="AX18" s="1021">
        <v>0</v>
      </c>
      <c r="AY18" s="1021">
        <v>0</v>
      </c>
      <c r="AZ18" s="1021">
        <v>40162.874249</v>
      </c>
      <c r="BA18" s="1021">
        <v>40162.874249</v>
      </c>
      <c r="BB18" s="993">
        <v>0</v>
      </c>
      <c r="BC18" s="994">
        <v>0.8154423638303101</v>
      </c>
      <c r="BD18" s="994">
        <v>0.6575280141843971</v>
      </c>
      <c r="BE18" s="994">
        <v>0.82605934041817664</v>
      </c>
    </row>
    <row r="19" spans="1:161" ht="34.5" hidden="1" customHeight="1">
      <c r="A19" s="698"/>
      <c r="B19" s="1000"/>
      <c r="C19" s="1021"/>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21"/>
      <c r="AM19" s="1021"/>
      <c r="AN19" s="1021"/>
      <c r="AO19" s="1021"/>
      <c r="AP19" s="1021"/>
      <c r="AQ19" s="1021"/>
      <c r="AR19" s="1021"/>
      <c r="AS19" s="1021"/>
      <c r="AT19" s="1021"/>
      <c r="AU19" s="1021"/>
      <c r="AV19" s="1021"/>
      <c r="AW19" s="1021"/>
      <c r="AX19" s="1021"/>
      <c r="AY19" s="1021"/>
      <c r="AZ19" s="1021"/>
      <c r="BA19" s="1021"/>
      <c r="BB19" s="993"/>
      <c r="BC19" s="994"/>
      <c r="BD19" s="994"/>
      <c r="BE19" s="994"/>
      <c r="BF19" s="735"/>
      <c r="BG19" s="735"/>
      <c r="BH19" s="735"/>
      <c r="BI19" s="735"/>
      <c r="BJ19" s="735"/>
      <c r="BK19" s="735"/>
      <c r="BL19" s="735"/>
      <c r="BM19" s="735"/>
      <c r="BN19" s="735"/>
      <c r="BO19" s="735"/>
      <c r="BP19" s="735"/>
      <c r="BQ19" s="735"/>
      <c r="BR19" s="735"/>
      <c r="BS19" s="735"/>
      <c r="BT19" s="735"/>
      <c r="BU19" s="735"/>
      <c r="BV19" s="735"/>
      <c r="BW19" s="735"/>
      <c r="BX19" s="735"/>
      <c r="BY19" s="735"/>
      <c r="BZ19" s="735"/>
      <c r="CA19" s="735"/>
      <c r="CB19" s="735"/>
      <c r="CC19" s="735"/>
      <c r="CD19" s="735"/>
      <c r="CE19" s="735"/>
      <c r="CF19" s="735"/>
      <c r="CG19" s="735"/>
      <c r="CH19" s="735"/>
      <c r="CI19" s="735"/>
      <c r="CJ19" s="735"/>
      <c r="CK19" s="735"/>
      <c r="CL19" s="735"/>
      <c r="CM19" s="735"/>
      <c r="CN19" s="735"/>
      <c r="CO19" s="735"/>
      <c r="CP19" s="735"/>
      <c r="CQ19" s="735"/>
      <c r="CR19" s="735"/>
      <c r="CS19" s="735"/>
      <c r="CT19" s="735"/>
      <c r="CU19" s="735"/>
      <c r="CV19" s="735"/>
      <c r="CW19" s="735"/>
      <c r="CX19" s="735"/>
      <c r="CY19" s="735"/>
      <c r="CZ19" s="735"/>
      <c r="DA19" s="735"/>
      <c r="DB19" s="735"/>
      <c r="DC19" s="735"/>
      <c r="DD19" s="735"/>
      <c r="DE19" s="735"/>
      <c r="DF19" s="735"/>
      <c r="DG19" s="735"/>
      <c r="DH19" s="735"/>
      <c r="DI19" s="735"/>
      <c r="DJ19" s="735"/>
      <c r="DK19" s="735"/>
      <c r="DL19" s="735"/>
      <c r="DM19" s="735"/>
      <c r="DN19" s="735"/>
      <c r="DO19" s="735"/>
      <c r="DP19" s="735"/>
      <c r="DQ19" s="735"/>
      <c r="DR19" s="735"/>
      <c r="DS19" s="735"/>
      <c r="DT19" s="735"/>
      <c r="DU19" s="735"/>
      <c r="DV19" s="735"/>
      <c r="DW19" s="735"/>
      <c r="DX19" s="735"/>
      <c r="DY19" s="735"/>
      <c r="DZ19" s="735"/>
      <c r="EA19" s="735"/>
      <c r="EB19" s="735"/>
      <c r="EC19" s="735"/>
      <c r="ED19" s="735"/>
      <c r="EE19" s="735"/>
      <c r="EF19" s="735"/>
      <c r="EG19" s="735"/>
      <c r="EH19" s="735"/>
      <c r="EI19" s="735"/>
      <c r="EJ19" s="735"/>
      <c r="EK19" s="735"/>
      <c r="EL19" s="735"/>
      <c r="EM19" s="735"/>
      <c r="EN19" s="735"/>
      <c r="EO19" s="735"/>
      <c r="EP19" s="735"/>
      <c r="EQ19" s="735"/>
      <c r="ER19" s="735"/>
      <c r="ES19" s="735"/>
      <c r="ET19" s="735"/>
      <c r="EU19" s="735"/>
      <c r="EV19" s="735"/>
      <c r="EW19" s="735"/>
      <c r="EX19" s="735"/>
      <c r="EY19" s="735"/>
      <c r="EZ19" s="735"/>
      <c r="FA19" s="735"/>
      <c r="FB19" s="735"/>
      <c r="FC19" s="735"/>
      <c r="FD19" s="735"/>
      <c r="FE19" s="735"/>
    </row>
    <row r="20" spans="1:161" ht="36.75" customHeight="1">
      <c r="A20" s="699">
        <v>1</v>
      </c>
      <c r="B20" s="1001" t="s">
        <v>2204</v>
      </c>
      <c r="C20" s="1022">
        <v>1325</v>
      </c>
      <c r="D20" s="1022">
        <v>0</v>
      </c>
      <c r="E20" s="1022">
        <v>0</v>
      </c>
      <c r="F20" s="1022">
        <v>0</v>
      </c>
      <c r="G20" s="1022">
        <v>1325</v>
      </c>
      <c r="H20" s="1022">
        <v>1325</v>
      </c>
      <c r="I20" s="1022">
        <v>0</v>
      </c>
      <c r="J20" s="1022">
        <v>275</v>
      </c>
      <c r="K20" s="1022">
        <v>0</v>
      </c>
      <c r="L20" s="1022"/>
      <c r="M20" s="1022"/>
      <c r="N20" s="1022">
        <v>275</v>
      </c>
      <c r="O20" s="1022">
        <v>275</v>
      </c>
      <c r="P20" s="1022"/>
      <c r="Q20" s="1022">
        <v>1050</v>
      </c>
      <c r="R20" s="1022">
        <v>0</v>
      </c>
      <c r="S20" s="1022"/>
      <c r="T20" s="1022"/>
      <c r="U20" s="1022">
        <v>1050</v>
      </c>
      <c r="V20" s="1022">
        <v>1050</v>
      </c>
      <c r="W20" s="1022"/>
      <c r="X20" s="1022">
        <v>0</v>
      </c>
      <c r="Y20" s="1022">
        <v>0</v>
      </c>
      <c r="Z20" s="1022"/>
      <c r="AA20" s="1022"/>
      <c r="AB20" s="1022">
        <v>0</v>
      </c>
      <c r="AC20" s="1022"/>
      <c r="AD20" s="1022"/>
      <c r="AE20" s="1022">
        <v>1327.944</v>
      </c>
      <c r="AF20" s="1022">
        <v>0</v>
      </c>
      <c r="AG20" s="1022">
        <v>1327.944</v>
      </c>
      <c r="AH20" s="1022">
        <v>280.70400000000001</v>
      </c>
      <c r="AI20" s="1022">
        <v>0</v>
      </c>
      <c r="AJ20" s="1022"/>
      <c r="AK20" s="1022"/>
      <c r="AL20" s="1022">
        <v>280.70400000000001</v>
      </c>
      <c r="AM20" s="1022">
        <v>280.70400000000001</v>
      </c>
      <c r="AN20" s="1022"/>
      <c r="AO20" s="1022">
        <v>1047.24</v>
      </c>
      <c r="AP20" s="1022">
        <v>0</v>
      </c>
      <c r="AQ20" s="1022"/>
      <c r="AR20" s="1023"/>
      <c r="AS20" s="1022">
        <v>1047.24</v>
      </c>
      <c r="AT20" s="1022">
        <v>1047.24</v>
      </c>
      <c r="AU20" s="1023"/>
      <c r="AV20" s="1022">
        <v>0</v>
      </c>
      <c r="AW20" s="1022">
        <v>0</v>
      </c>
      <c r="AX20" s="1022"/>
      <c r="AY20" s="1023"/>
      <c r="AZ20" s="1022">
        <v>0</v>
      </c>
      <c r="BA20" s="1022"/>
      <c r="BB20" s="995"/>
      <c r="BC20" s="996">
        <v>1.0022218867924528</v>
      </c>
      <c r="BD20" s="996"/>
      <c r="BE20" s="996">
        <v>1.0022218867924528</v>
      </c>
    </row>
    <row r="21" spans="1:161" ht="36.75" customHeight="1">
      <c r="A21" s="699">
        <v>2</v>
      </c>
      <c r="B21" s="1001" t="s">
        <v>1764</v>
      </c>
      <c r="C21" s="1022">
        <v>200</v>
      </c>
      <c r="D21" s="1022">
        <v>0</v>
      </c>
      <c r="E21" s="1022">
        <v>0</v>
      </c>
      <c r="F21" s="1022">
        <v>0</v>
      </c>
      <c r="G21" s="1022">
        <v>200</v>
      </c>
      <c r="H21" s="1022">
        <v>200</v>
      </c>
      <c r="I21" s="1022">
        <v>0</v>
      </c>
      <c r="J21" s="1022">
        <v>0</v>
      </c>
      <c r="K21" s="1022">
        <v>0</v>
      </c>
      <c r="L21" s="1022"/>
      <c r="M21" s="1022"/>
      <c r="N21" s="1022">
        <v>0</v>
      </c>
      <c r="O21" s="1022"/>
      <c r="P21" s="1022"/>
      <c r="Q21" s="1022">
        <v>200</v>
      </c>
      <c r="R21" s="1022">
        <v>0</v>
      </c>
      <c r="S21" s="1022"/>
      <c r="T21" s="1022"/>
      <c r="U21" s="1022">
        <v>200</v>
      </c>
      <c r="V21" s="1022">
        <v>200</v>
      </c>
      <c r="W21" s="1022"/>
      <c r="X21" s="1022">
        <v>0</v>
      </c>
      <c r="Y21" s="1022">
        <v>0</v>
      </c>
      <c r="Z21" s="1022"/>
      <c r="AA21" s="1022"/>
      <c r="AB21" s="1022">
        <v>0</v>
      </c>
      <c r="AC21" s="1022"/>
      <c r="AD21" s="1022"/>
      <c r="AE21" s="1022">
        <v>200</v>
      </c>
      <c r="AF21" s="1022">
        <v>0</v>
      </c>
      <c r="AG21" s="1022">
        <v>200</v>
      </c>
      <c r="AH21" s="1022">
        <v>0</v>
      </c>
      <c r="AI21" s="1022">
        <v>0</v>
      </c>
      <c r="AJ21" s="1022"/>
      <c r="AK21" s="1022"/>
      <c r="AL21" s="1022">
        <v>0</v>
      </c>
      <c r="AM21" s="1022"/>
      <c r="AN21" s="1022"/>
      <c r="AO21" s="1022">
        <v>200</v>
      </c>
      <c r="AP21" s="1022">
        <v>0</v>
      </c>
      <c r="AQ21" s="1022"/>
      <c r="AR21" s="1023"/>
      <c r="AS21" s="1022">
        <v>200</v>
      </c>
      <c r="AT21" s="1022">
        <v>200</v>
      </c>
      <c r="AU21" s="1023"/>
      <c r="AV21" s="1022">
        <v>0</v>
      </c>
      <c r="AW21" s="1022">
        <v>0</v>
      </c>
      <c r="AX21" s="1022"/>
      <c r="AY21" s="1023"/>
      <c r="AZ21" s="1022">
        <v>0</v>
      </c>
      <c r="BA21" s="1022"/>
      <c r="BB21" s="995"/>
      <c r="BC21" s="996">
        <v>1</v>
      </c>
      <c r="BD21" s="996"/>
      <c r="BE21" s="996">
        <v>1</v>
      </c>
    </row>
    <row r="22" spans="1:161" ht="50.25" customHeight="1">
      <c r="A22" s="699">
        <v>3</v>
      </c>
      <c r="B22" s="1001" t="s">
        <v>2457</v>
      </c>
      <c r="C22" s="1022">
        <v>126</v>
      </c>
      <c r="D22" s="1022">
        <v>0</v>
      </c>
      <c r="E22" s="1022">
        <v>0</v>
      </c>
      <c r="F22" s="1022">
        <v>0</v>
      </c>
      <c r="G22" s="1022">
        <v>126</v>
      </c>
      <c r="H22" s="1022">
        <v>126</v>
      </c>
      <c r="I22" s="1022">
        <v>0</v>
      </c>
      <c r="J22" s="1022">
        <v>0</v>
      </c>
      <c r="K22" s="1022">
        <v>0</v>
      </c>
      <c r="L22" s="1022"/>
      <c r="M22" s="1022"/>
      <c r="N22" s="1022">
        <v>0</v>
      </c>
      <c r="O22" s="1022"/>
      <c r="P22" s="1022"/>
      <c r="Q22" s="1022">
        <v>126</v>
      </c>
      <c r="R22" s="1022">
        <v>0</v>
      </c>
      <c r="S22" s="1022"/>
      <c r="T22" s="1022"/>
      <c r="U22" s="1022">
        <v>126</v>
      </c>
      <c r="V22" s="1022">
        <v>126</v>
      </c>
      <c r="W22" s="1022"/>
      <c r="X22" s="1022">
        <v>0</v>
      </c>
      <c r="Y22" s="1022">
        <v>0</v>
      </c>
      <c r="Z22" s="1022"/>
      <c r="AA22" s="1022"/>
      <c r="AB22" s="1022">
        <v>0</v>
      </c>
      <c r="AC22" s="1022"/>
      <c r="AD22" s="1022"/>
      <c r="AE22" s="1022">
        <v>126</v>
      </c>
      <c r="AF22" s="1022">
        <v>0</v>
      </c>
      <c r="AG22" s="1022">
        <v>126</v>
      </c>
      <c r="AH22" s="1022">
        <v>0</v>
      </c>
      <c r="AI22" s="1022">
        <v>0</v>
      </c>
      <c r="AJ22" s="1022"/>
      <c r="AK22" s="1022"/>
      <c r="AL22" s="1022">
        <v>0</v>
      </c>
      <c r="AM22" s="1022"/>
      <c r="AN22" s="1022"/>
      <c r="AO22" s="1022">
        <v>126</v>
      </c>
      <c r="AP22" s="1022">
        <v>0</v>
      </c>
      <c r="AQ22" s="1022"/>
      <c r="AR22" s="1023"/>
      <c r="AS22" s="1022">
        <v>126</v>
      </c>
      <c r="AT22" s="1022">
        <v>126</v>
      </c>
      <c r="AU22" s="1023"/>
      <c r="AV22" s="1022">
        <v>0</v>
      </c>
      <c r="AW22" s="1022">
        <v>0</v>
      </c>
      <c r="AX22" s="1022"/>
      <c r="AY22" s="1023"/>
      <c r="AZ22" s="1022">
        <v>0</v>
      </c>
      <c r="BA22" s="1022"/>
      <c r="BB22" s="995"/>
      <c r="BC22" s="996">
        <v>1</v>
      </c>
      <c r="BD22" s="996"/>
      <c r="BE22" s="996"/>
    </row>
    <row r="23" spans="1:161" ht="53.25" customHeight="1">
      <c r="A23" s="699">
        <v>4</v>
      </c>
      <c r="B23" s="1001" t="s">
        <v>1920</v>
      </c>
      <c r="C23" s="1022">
        <v>1210</v>
      </c>
      <c r="D23" s="1022">
        <v>0</v>
      </c>
      <c r="E23" s="1022">
        <v>0</v>
      </c>
      <c r="F23" s="1022">
        <v>0</v>
      </c>
      <c r="G23" s="1022">
        <v>1210</v>
      </c>
      <c r="H23" s="1022">
        <v>1210</v>
      </c>
      <c r="I23" s="1022">
        <v>0</v>
      </c>
      <c r="J23" s="1022">
        <v>0</v>
      </c>
      <c r="K23" s="1022">
        <v>0</v>
      </c>
      <c r="L23" s="1022"/>
      <c r="M23" s="1022"/>
      <c r="N23" s="1022">
        <v>0</v>
      </c>
      <c r="O23" s="1022"/>
      <c r="P23" s="1022"/>
      <c r="Q23" s="1022">
        <v>1210</v>
      </c>
      <c r="R23" s="1022">
        <v>0</v>
      </c>
      <c r="S23" s="1022"/>
      <c r="T23" s="1022"/>
      <c r="U23" s="1022">
        <v>1210</v>
      </c>
      <c r="V23" s="1022">
        <v>1210</v>
      </c>
      <c r="W23" s="1022"/>
      <c r="X23" s="1022">
        <v>0</v>
      </c>
      <c r="Y23" s="1022">
        <v>0</v>
      </c>
      <c r="Z23" s="1022"/>
      <c r="AA23" s="1022"/>
      <c r="AB23" s="1022">
        <v>0</v>
      </c>
      <c r="AC23" s="1022"/>
      <c r="AD23" s="1022"/>
      <c r="AE23" s="1022">
        <v>5.4</v>
      </c>
      <c r="AF23" s="1022">
        <v>0</v>
      </c>
      <c r="AG23" s="1022">
        <v>5.4</v>
      </c>
      <c r="AH23" s="1022">
        <v>0</v>
      </c>
      <c r="AI23" s="1022">
        <v>0</v>
      </c>
      <c r="AJ23" s="1022"/>
      <c r="AK23" s="1022"/>
      <c r="AL23" s="1022">
        <v>0</v>
      </c>
      <c r="AM23" s="1022"/>
      <c r="AN23" s="1022"/>
      <c r="AO23" s="1022">
        <v>5.4</v>
      </c>
      <c r="AP23" s="1022">
        <v>0</v>
      </c>
      <c r="AQ23" s="1022"/>
      <c r="AR23" s="1023"/>
      <c r="AS23" s="1022">
        <v>5.4</v>
      </c>
      <c r="AT23" s="1022">
        <v>5.4</v>
      </c>
      <c r="AU23" s="1023"/>
      <c r="AV23" s="1022">
        <v>0</v>
      </c>
      <c r="AW23" s="1022">
        <v>0</v>
      </c>
      <c r="AX23" s="1022"/>
      <c r="AY23" s="1023"/>
      <c r="AZ23" s="1022">
        <v>0</v>
      </c>
      <c r="BA23" s="1022"/>
      <c r="BB23" s="995"/>
      <c r="BC23" s="996">
        <v>4.4628099173553721E-3</v>
      </c>
      <c r="BD23" s="996"/>
      <c r="BE23" s="996"/>
    </row>
    <row r="24" spans="1:161" ht="36.75" customHeight="1">
      <c r="A24" s="699">
        <v>5</v>
      </c>
      <c r="B24" s="1001" t="s">
        <v>1725</v>
      </c>
      <c r="C24" s="1022">
        <v>350</v>
      </c>
      <c r="D24" s="1022">
        <v>0</v>
      </c>
      <c r="E24" s="1022">
        <v>0</v>
      </c>
      <c r="F24" s="1022">
        <v>0</v>
      </c>
      <c r="G24" s="1022">
        <v>350</v>
      </c>
      <c r="H24" s="1022">
        <v>350</v>
      </c>
      <c r="I24" s="1022">
        <v>0</v>
      </c>
      <c r="J24" s="1022">
        <v>0</v>
      </c>
      <c r="K24" s="1022">
        <v>0</v>
      </c>
      <c r="L24" s="1022"/>
      <c r="M24" s="1022"/>
      <c r="N24" s="1022">
        <v>0</v>
      </c>
      <c r="O24" s="1022"/>
      <c r="P24" s="1022"/>
      <c r="Q24" s="1022">
        <v>350</v>
      </c>
      <c r="R24" s="1022">
        <v>0</v>
      </c>
      <c r="S24" s="1022"/>
      <c r="T24" s="1022"/>
      <c r="U24" s="1022">
        <v>350</v>
      </c>
      <c r="V24" s="1022">
        <v>350</v>
      </c>
      <c r="W24" s="1022"/>
      <c r="X24" s="1022">
        <v>0</v>
      </c>
      <c r="Y24" s="1022">
        <v>0</v>
      </c>
      <c r="Z24" s="1022"/>
      <c r="AA24" s="1022"/>
      <c r="AB24" s="1022">
        <v>0</v>
      </c>
      <c r="AC24" s="1022"/>
      <c r="AD24" s="1022"/>
      <c r="AE24" s="1022">
        <v>350</v>
      </c>
      <c r="AF24" s="1022">
        <v>0</v>
      </c>
      <c r="AG24" s="1022">
        <v>350</v>
      </c>
      <c r="AH24" s="1022">
        <v>0</v>
      </c>
      <c r="AI24" s="1022">
        <v>0</v>
      </c>
      <c r="AJ24" s="1022"/>
      <c r="AK24" s="1022"/>
      <c r="AL24" s="1022">
        <v>0</v>
      </c>
      <c r="AM24" s="1022"/>
      <c r="AN24" s="1022"/>
      <c r="AO24" s="1022">
        <v>350</v>
      </c>
      <c r="AP24" s="1022">
        <v>0</v>
      </c>
      <c r="AQ24" s="1022"/>
      <c r="AR24" s="1023"/>
      <c r="AS24" s="1022">
        <v>350</v>
      </c>
      <c r="AT24" s="1022">
        <v>350</v>
      </c>
      <c r="AU24" s="1023"/>
      <c r="AV24" s="1022">
        <v>0</v>
      </c>
      <c r="AW24" s="1022">
        <v>0</v>
      </c>
      <c r="AX24" s="1022"/>
      <c r="AY24" s="1023"/>
      <c r="AZ24" s="1022">
        <v>0</v>
      </c>
      <c r="BA24" s="1022"/>
      <c r="BB24" s="995"/>
      <c r="BC24" s="996">
        <v>1</v>
      </c>
      <c r="BD24" s="996"/>
      <c r="BE24" s="996"/>
    </row>
    <row r="25" spans="1:161" ht="36.75" customHeight="1">
      <c r="A25" s="699">
        <v>6</v>
      </c>
      <c r="B25" s="1001" t="s">
        <v>2458</v>
      </c>
      <c r="C25" s="1022">
        <v>600</v>
      </c>
      <c r="D25" s="1022">
        <v>0</v>
      </c>
      <c r="E25" s="1022">
        <v>0</v>
      </c>
      <c r="F25" s="1022">
        <v>0</v>
      </c>
      <c r="G25" s="1022">
        <v>600</v>
      </c>
      <c r="H25" s="1022">
        <v>600</v>
      </c>
      <c r="I25" s="1022">
        <v>0</v>
      </c>
      <c r="J25" s="1022">
        <v>0</v>
      </c>
      <c r="K25" s="1022">
        <v>0</v>
      </c>
      <c r="L25" s="1022"/>
      <c r="M25" s="1022"/>
      <c r="N25" s="1022">
        <v>0</v>
      </c>
      <c r="O25" s="1022"/>
      <c r="P25" s="1022"/>
      <c r="Q25" s="1022">
        <v>600</v>
      </c>
      <c r="R25" s="1022">
        <v>0</v>
      </c>
      <c r="S25" s="1022"/>
      <c r="T25" s="1022"/>
      <c r="U25" s="1022">
        <v>600</v>
      </c>
      <c r="V25" s="1022">
        <v>600</v>
      </c>
      <c r="W25" s="1022"/>
      <c r="X25" s="1022">
        <v>0</v>
      </c>
      <c r="Y25" s="1022">
        <v>0</v>
      </c>
      <c r="Z25" s="1022"/>
      <c r="AA25" s="1022"/>
      <c r="AB25" s="1022">
        <v>0</v>
      </c>
      <c r="AC25" s="1022"/>
      <c r="AD25" s="1022"/>
      <c r="AE25" s="1022">
        <v>0</v>
      </c>
      <c r="AF25" s="1022">
        <v>0</v>
      </c>
      <c r="AG25" s="1022">
        <v>0</v>
      </c>
      <c r="AH25" s="1022">
        <v>0</v>
      </c>
      <c r="AI25" s="1022">
        <v>0</v>
      </c>
      <c r="AJ25" s="1022"/>
      <c r="AK25" s="1022"/>
      <c r="AL25" s="1022">
        <v>0</v>
      </c>
      <c r="AM25" s="1022"/>
      <c r="AN25" s="1022"/>
      <c r="AO25" s="1022">
        <v>0</v>
      </c>
      <c r="AP25" s="1022">
        <v>0</v>
      </c>
      <c r="AQ25" s="1022"/>
      <c r="AR25" s="1023"/>
      <c r="AS25" s="1022">
        <v>0</v>
      </c>
      <c r="AT25" s="1022">
        <v>0</v>
      </c>
      <c r="AU25" s="1023"/>
      <c r="AV25" s="1022">
        <v>0</v>
      </c>
      <c r="AW25" s="1022">
        <v>0</v>
      </c>
      <c r="AX25" s="1022"/>
      <c r="AY25" s="1023"/>
      <c r="AZ25" s="1022">
        <v>0</v>
      </c>
      <c r="BA25" s="1022"/>
      <c r="BB25" s="995"/>
      <c r="BC25" s="996">
        <v>0</v>
      </c>
      <c r="BD25" s="996"/>
      <c r="BE25" s="996"/>
    </row>
    <row r="26" spans="1:161" ht="57" customHeight="1">
      <c r="A26" s="699">
        <v>7</v>
      </c>
      <c r="B26" s="1001" t="s">
        <v>2691</v>
      </c>
      <c r="C26" s="1022">
        <v>200</v>
      </c>
      <c r="D26" s="1022">
        <v>0</v>
      </c>
      <c r="E26" s="1022">
        <v>0</v>
      </c>
      <c r="F26" s="1022">
        <v>0</v>
      </c>
      <c r="G26" s="1022">
        <v>200</v>
      </c>
      <c r="H26" s="1022">
        <v>200</v>
      </c>
      <c r="I26" s="1022">
        <v>0</v>
      </c>
      <c r="J26" s="1022">
        <v>0</v>
      </c>
      <c r="K26" s="1022">
        <v>0</v>
      </c>
      <c r="L26" s="1022"/>
      <c r="M26" s="1022"/>
      <c r="N26" s="1022">
        <v>0</v>
      </c>
      <c r="O26" s="1022"/>
      <c r="P26" s="1022"/>
      <c r="Q26" s="1022">
        <v>200</v>
      </c>
      <c r="R26" s="1022">
        <v>0</v>
      </c>
      <c r="S26" s="1022"/>
      <c r="T26" s="1022"/>
      <c r="U26" s="1022">
        <v>200</v>
      </c>
      <c r="V26" s="1022">
        <v>200</v>
      </c>
      <c r="W26" s="1022"/>
      <c r="X26" s="1022">
        <v>0</v>
      </c>
      <c r="Y26" s="1022">
        <v>0</v>
      </c>
      <c r="Z26" s="1022"/>
      <c r="AA26" s="1022"/>
      <c r="AB26" s="1022">
        <v>0</v>
      </c>
      <c r="AC26" s="1022"/>
      <c r="AD26" s="1022"/>
      <c r="AE26" s="1022">
        <v>199.2</v>
      </c>
      <c r="AF26" s="1022">
        <v>0</v>
      </c>
      <c r="AG26" s="1022">
        <v>199.2</v>
      </c>
      <c r="AH26" s="1022">
        <v>0</v>
      </c>
      <c r="AI26" s="1022">
        <v>0</v>
      </c>
      <c r="AJ26" s="1022"/>
      <c r="AK26" s="1022"/>
      <c r="AL26" s="1022">
        <v>0</v>
      </c>
      <c r="AM26" s="1022"/>
      <c r="AN26" s="1022"/>
      <c r="AO26" s="1022">
        <v>199.2</v>
      </c>
      <c r="AP26" s="1022">
        <v>0</v>
      </c>
      <c r="AQ26" s="1022"/>
      <c r="AR26" s="1023"/>
      <c r="AS26" s="1022">
        <v>199.2</v>
      </c>
      <c r="AT26" s="1022">
        <v>199.2</v>
      </c>
      <c r="AU26" s="1023"/>
      <c r="AV26" s="1022">
        <v>0</v>
      </c>
      <c r="AW26" s="1022">
        <v>0</v>
      </c>
      <c r="AX26" s="1022"/>
      <c r="AY26" s="1023"/>
      <c r="AZ26" s="1022">
        <v>0</v>
      </c>
      <c r="BA26" s="1022"/>
      <c r="BB26" s="995"/>
      <c r="BC26" s="996">
        <v>0.996</v>
      </c>
      <c r="BD26" s="996"/>
      <c r="BE26" s="996"/>
    </row>
    <row r="27" spans="1:161" ht="36.75" customHeight="1">
      <c r="A27" s="699">
        <v>8</v>
      </c>
      <c r="B27" s="1001" t="s">
        <v>1689</v>
      </c>
      <c r="C27" s="1022">
        <v>1130</v>
      </c>
      <c r="D27" s="1022">
        <v>500</v>
      </c>
      <c r="E27" s="1022">
        <v>500</v>
      </c>
      <c r="F27" s="1022">
        <v>0</v>
      </c>
      <c r="G27" s="1022">
        <v>630</v>
      </c>
      <c r="H27" s="1022">
        <v>630</v>
      </c>
      <c r="I27" s="1022">
        <v>0</v>
      </c>
      <c r="J27" s="1022">
        <v>0</v>
      </c>
      <c r="K27" s="1022">
        <v>0</v>
      </c>
      <c r="L27" s="1022"/>
      <c r="M27" s="1022"/>
      <c r="N27" s="1022">
        <v>0</v>
      </c>
      <c r="O27" s="1022"/>
      <c r="P27" s="1022"/>
      <c r="Q27" s="1022">
        <v>1130</v>
      </c>
      <c r="R27" s="1022">
        <v>500</v>
      </c>
      <c r="S27" s="1022">
        <v>500</v>
      </c>
      <c r="T27" s="1022"/>
      <c r="U27" s="1022">
        <v>630</v>
      </c>
      <c r="V27" s="1022">
        <v>630</v>
      </c>
      <c r="W27" s="1022"/>
      <c r="X27" s="1022">
        <v>0</v>
      </c>
      <c r="Y27" s="1022">
        <v>0</v>
      </c>
      <c r="Z27" s="1022"/>
      <c r="AA27" s="1022"/>
      <c r="AB27" s="1022">
        <v>0</v>
      </c>
      <c r="AC27" s="1022"/>
      <c r="AD27" s="1022"/>
      <c r="AE27" s="1022">
        <v>630</v>
      </c>
      <c r="AF27" s="1022">
        <v>0</v>
      </c>
      <c r="AG27" s="1022">
        <v>630</v>
      </c>
      <c r="AH27" s="1022">
        <v>0</v>
      </c>
      <c r="AI27" s="1022">
        <v>0</v>
      </c>
      <c r="AJ27" s="1022"/>
      <c r="AK27" s="1022"/>
      <c r="AL27" s="1022">
        <v>0</v>
      </c>
      <c r="AM27" s="1022"/>
      <c r="AN27" s="1022"/>
      <c r="AO27" s="1022">
        <v>630</v>
      </c>
      <c r="AP27" s="1022">
        <v>0</v>
      </c>
      <c r="AQ27" s="1022">
        <v>0</v>
      </c>
      <c r="AR27" s="1022"/>
      <c r="AS27" s="1022">
        <v>630</v>
      </c>
      <c r="AT27" s="1022">
        <v>630</v>
      </c>
      <c r="AU27" s="1023"/>
      <c r="AV27" s="1022">
        <v>0</v>
      </c>
      <c r="AW27" s="1022">
        <v>0</v>
      </c>
      <c r="AX27" s="1022"/>
      <c r="AY27" s="1022"/>
      <c r="AZ27" s="1022">
        <v>0</v>
      </c>
      <c r="BA27" s="1022"/>
      <c r="BB27" s="995"/>
      <c r="BC27" s="996">
        <v>0.55752212389380529</v>
      </c>
      <c r="BD27" s="996"/>
      <c r="BE27" s="996">
        <v>1</v>
      </c>
    </row>
    <row r="28" spans="1:161" ht="36.75" customHeight="1">
      <c r="A28" s="699">
        <v>9</v>
      </c>
      <c r="B28" s="1001" t="s">
        <v>1904</v>
      </c>
      <c r="C28" s="1022">
        <v>300</v>
      </c>
      <c r="D28" s="1022">
        <v>0</v>
      </c>
      <c r="E28" s="1022">
        <v>0</v>
      </c>
      <c r="F28" s="1022">
        <v>0</v>
      </c>
      <c r="G28" s="1022">
        <v>300</v>
      </c>
      <c r="H28" s="1022">
        <v>300</v>
      </c>
      <c r="I28" s="1022">
        <v>0</v>
      </c>
      <c r="J28" s="1022">
        <v>0</v>
      </c>
      <c r="K28" s="1022">
        <v>0</v>
      </c>
      <c r="L28" s="1022"/>
      <c r="M28" s="1022"/>
      <c r="N28" s="1022">
        <v>0</v>
      </c>
      <c r="O28" s="1022"/>
      <c r="P28" s="1022"/>
      <c r="Q28" s="1022">
        <v>100</v>
      </c>
      <c r="R28" s="1022">
        <v>0</v>
      </c>
      <c r="S28" s="1022"/>
      <c r="T28" s="1022"/>
      <c r="U28" s="1022">
        <v>100</v>
      </c>
      <c r="V28" s="1022">
        <v>100</v>
      </c>
      <c r="W28" s="1022"/>
      <c r="X28" s="1022">
        <v>200</v>
      </c>
      <c r="Y28" s="1022">
        <v>0</v>
      </c>
      <c r="Z28" s="1022"/>
      <c r="AA28" s="1022"/>
      <c r="AB28" s="1022">
        <v>200</v>
      </c>
      <c r="AC28" s="1022">
        <v>200</v>
      </c>
      <c r="AD28" s="1022"/>
      <c r="AE28" s="1022">
        <v>297.23</v>
      </c>
      <c r="AF28" s="1022">
        <v>0</v>
      </c>
      <c r="AG28" s="1022">
        <v>297.23</v>
      </c>
      <c r="AH28" s="1022">
        <v>0</v>
      </c>
      <c r="AI28" s="1022">
        <v>0</v>
      </c>
      <c r="AJ28" s="1022"/>
      <c r="AK28" s="1022"/>
      <c r="AL28" s="1022">
        <v>0</v>
      </c>
      <c r="AM28" s="1022"/>
      <c r="AN28" s="1022"/>
      <c r="AO28" s="1022">
        <v>97.23</v>
      </c>
      <c r="AP28" s="1022">
        <v>0</v>
      </c>
      <c r="AQ28" s="1022"/>
      <c r="AR28" s="1022"/>
      <c r="AS28" s="1022">
        <v>97.23</v>
      </c>
      <c r="AT28" s="1022">
        <v>97.23</v>
      </c>
      <c r="AU28" s="1023"/>
      <c r="AV28" s="1022">
        <v>200</v>
      </c>
      <c r="AW28" s="1022">
        <v>0</v>
      </c>
      <c r="AX28" s="1022"/>
      <c r="AY28" s="1022"/>
      <c r="AZ28" s="1022">
        <v>200</v>
      </c>
      <c r="BA28" s="1022">
        <v>200</v>
      </c>
      <c r="BB28" s="995"/>
      <c r="BC28" s="996">
        <v>0.99076666666666668</v>
      </c>
      <c r="BD28" s="996"/>
      <c r="BE28" s="996">
        <v>0.99076666666666668</v>
      </c>
    </row>
    <row r="29" spans="1:161" ht="36.75" customHeight="1">
      <c r="A29" s="699">
        <v>10</v>
      </c>
      <c r="B29" s="1001" t="s">
        <v>343</v>
      </c>
      <c r="C29" s="1022">
        <v>900</v>
      </c>
      <c r="D29" s="1022">
        <v>0</v>
      </c>
      <c r="E29" s="1022">
        <v>0</v>
      </c>
      <c r="F29" s="1022">
        <v>0</v>
      </c>
      <c r="G29" s="1022">
        <v>900</v>
      </c>
      <c r="H29" s="1022">
        <v>900</v>
      </c>
      <c r="I29" s="1022">
        <v>0</v>
      </c>
      <c r="J29" s="1022">
        <v>0</v>
      </c>
      <c r="K29" s="1022">
        <v>0</v>
      </c>
      <c r="L29" s="1022"/>
      <c r="M29" s="1022"/>
      <c r="N29" s="1022">
        <v>0</v>
      </c>
      <c r="O29" s="1022"/>
      <c r="P29" s="1022"/>
      <c r="Q29" s="1022">
        <v>200</v>
      </c>
      <c r="R29" s="1022">
        <v>0</v>
      </c>
      <c r="S29" s="1022"/>
      <c r="T29" s="1022"/>
      <c r="U29" s="1022">
        <v>200</v>
      </c>
      <c r="V29" s="1022">
        <v>200</v>
      </c>
      <c r="W29" s="1022"/>
      <c r="X29" s="1022">
        <v>700</v>
      </c>
      <c r="Y29" s="1022">
        <v>0</v>
      </c>
      <c r="Z29" s="1022"/>
      <c r="AA29" s="1022"/>
      <c r="AB29" s="1022">
        <v>700</v>
      </c>
      <c r="AC29" s="1022">
        <v>700</v>
      </c>
      <c r="AD29" s="1022"/>
      <c r="AE29" s="1022">
        <v>900</v>
      </c>
      <c r="AF29" s="1022">
        <v>0</v>
      </c>
      <c r="AG29" s="1022">
        <v>900</v>
      </c>
      <c r="AH29" s="1022">
        <v>0</v>
      </c>
      <c r="AI29" s="1022">
        <v>0</v>
      </c>
      <c r="AJ29" s="1022"/>
      <c r="AK29" s="1022"/>
      <c r="AL29" s="1022">
        <v>0</v>
      </c>
      <c r="AM29" s="1022"/>
      <c r="AN29" s="1022"/>
      <c r="AO29" s="1022">
        <v>200</v>
      </c>
      <c r="AP29" s="1022">
        <v>0</v>
      </c>
      <c r="AQ29" s="1022"/>
      <c r="AR29" s="1022"/>
      <c r="AS29" s="1022">
        <v>200</v>
      </c>
      <c r="AT29" s="1022">
        <v>200</v>
      </c>
      <c r="AU29" s="1023"/>
      <c r="AV29" s="1022">
        <v>700</v>
      </c>
      <c r="AW29" s="1022">
        <v>0</v>
      </c>
      <c r="AX29" s="1022"/>
      <c r="AY29" s="1022"/>
      <c r="AZ29" s="1022">
        <v>700</v>
      </c>
      <c r="BA29" s="1022">
        <v>700</v>
      </c>
      <c r="BB29" s="995"/>
      <c r="BC29" s="996">
        <v>1</v>
      </c>
      <c r="BD29" s="996"/>
      <c r="BE29" s="996">
        <v>1</v>
      </c>
    </row>
    <row r="30" spans="1:161" ht="36.75" customHeight="1">
      <c r="A30" s="699">
        <v>11</v>
      </c>
      <c r="B30" s="1001" t="s">
        <v>1905</v>
      </c>
      <c r="C30" s="1022">
        <v>330</v>
      </c>
      <c r="D30" s="1022">
        <v>0</v>
      </c>
      <c r="E30" s="1022">
        <v>0</v>
      </c>
      <c r="F30" s="1022">
        <v>0</v>
      </c>
      <c r="G30" s="1022">
        <v>330</v>
      </c>
      <c r="H30" s="1022">
        <v>330</v>
      </c>
      <c r="I30" s="1022">
        <v>0</v>
      </c>
      <c r="J30" s="1022">
        <v>120</v>
      </c>
      <c r="K30" s="1022">
        <v>0</v>
      </c>
      <c r="L30" s="1022"/>
      <c r="M30" s="1022"/>
      <c r="N30" s="1022">
        <v>120</v>
      </c>
      <c r="O30" s="1022">
        <v>120</v>
      </c>
      <c r="P30" s="1022"/>
      <c r="Q30" s="1022">
        <v>100</v>
      </c>
      <c r="R30" s="1022">
        <v>0</v>
      </c>
      <c r="S30" s="1022"/>
      <c r="T30" s="1022"/>
      <c r="U30" s="1022">
        <v>100</v>
      </c>
      <c r="V30" s="1022">
        <v>100</v>
      </c>
      <c r="W30" s="1022"/>
      <c r="X30" s="1022">
        <v>110</v>
      </c>
      <c r="Y30" s="1022">
        <v>0</v>
      </c>
      <c r="Z30" s="1022"/>
      <c r="AA30" s="1022"/>
      <c r="AB30" s="1022">
        <v>110</v>
      </c>
      <c r="AC30" s="1022">
        <v>110</v>
      </c>
      <c r="AD30" s="1022"/>
      <c r="AE30" s="1022">
        <v>264.38</v>
      </c>
      <c r="AF30" s="1022">
        <v>0</v>
      </c>
      <c r="AG30" s="1022">
        <v>264.38</v>
      </c>
      <c r="AH30" s="1022">
        <v>120</v>
      </c>
      <c r="AI30" s="1022">
        <v>0</v>
      </c>
      <c r="AJ30" s="1022"/>
      <c r="AK30" s="1022"/>
      <c r="AL30" s="1022">
        <v>120</v>
      </c>
      <c r="AM30" s="1022">
        <v>120</v>
      </c>
      <c r="AN30" s="1022"/>
      <c r="AO30" s="1022">
        <v>34.380000000000003</v>
      </c>
      <c r="AP30" s="1022">
        <v>0</v>
      </c>
      <c r="AQ30" s="1022"/>
      <c r="AR30" s="1022"/>
      <c r="AS30" s="1022">
        <v>34.380000000000003</v>
      </c>
      <c r="AT30" s="1022">
        <v>34.380000000000003</v>
      </c>
      <c r="AU30" s="1023"/>
      <c r="AV30" s="1022">
        <v>110</v>
      </c>
      <c r="AW30" s="1022">
        <v>0</v>
      </c>
      <c r="AX30" s="1022"/>
      <c r="AY30" s="1022"/>
      <c r="AZ30" s="1022">
        <v>110</v>
      </c>
      <c r="BA30" s="1022">
        <v>110</v>
      </c>
      <c r="BB30" s="995"/>
      <c r="BC30" s="996">
        <v>0.80115151515151517</v>
      </c>
      <c r="BD30" s="996"/>
      <c r="BE30" s="996">
        <v>0.80115151515151517</v>
      </c>
    </row>
    <row r="31" spans="1:161" ht="36.75" customHeight="1">
      <c r="A31" s="699">
        <v>12</v>
      </c>
      <c r="B31" s="1001" t="s">
        <v>1857</v>
      </c>
      <c r="C31" s="1022">
        <v>250</v>
      </c>
      <c r="D31" s="1022">
        <v>0</v>
      </c>
      <c r="E31" s="1022">
        <v>0</v>
      </c>
      <c r="F31" s="1022">
        <v>0</v>
      </c>
      <c r="G31" s="1022">
        <v>250</v>
      </c>
      <c r="H31" s="1022">
        <v>250</v>
      </c>
      <c r="I31" s="1022">
        <v>0</v>
      </c>
      <c r="J31" s="1022">
        <v>0</v>
      </c>
      <c r="K31" s="1022">
        <v>0</v>
      </c>
      <c r="L31" s="1022"/>
      <c r="M31" s="1022"/>
      <c r="N31" s="1022">
        <v>0</v>
      </c>
      <c r="O31" s="1022"/>
      <c r="P31" s="1022"/>
      <c r="Q31" s="1022">
        <v>250</v>
      </c>
      <c r="R31" s="1022">
        <v>0</v>
      </c>
      <c r="S31" s="1022"/>
      <c r="T31" s="1022"/>
      <c r="U31" s="1022">
        <v>250</v>
      </c>
      <c r="V31" s="1022">
        <v>250</v>
      </c>
      <c r="W31" s="1022"/>
      <c r="X31" s="1022">
        <v>0</v>
      </c>
      <c r="Y31" s="1022">
        <v>0</v>
      </c>
      <c r="Z31" s="1022"/>
      <c r="AA31" s="1022"/>
      <c r="AB31" s="1022">
        <v>0</v>
      </c>
      <c r="AC31" s="1022"/>
      <c r="AD31" s="1022"/>
      <c r="AE31" s="1022">
        <v>243.8</v>
      </c>
      <c r="AF31" s="1022">
        <v>0</v>
      </c>
      <c r="AG31" s="1022">
        <v>243.8</v>
      </c>
      <c r="AH31" s="1022">
        <v>0</v>
      </c>
      <c r="AI31" s="1022">
        <v>0</v>
      </c>
      <c r="AJ31" s="1022"/>
      <c r="AK31" s="1022"/>
      <c r="AL31" s="1022">
        <v>0</v>
      </c>
      <c r="AM31" s="1022"/>
      <c r="AN31" s="1022"/>
      <c r="AO31" s="1022">
        <v>243.8</v>
      </c>
      <c r="AP31" s="1022">
        <v>0</v>
      </c>
      <c r="AQ31" s="1022"/>
      <c r="AR31" s="1022"/>
      <c r="AS31" s="1022">
        <v>243.8</v>
      </c>
      <c r="AT31" s="1022">
        <v>243.8</v>
      </c>
      <c r="AU31" s="1023"/>
      <c r="AV31" s="1022">
        <v>0</v>
      </c>
      <c r="AW31" s="1022">
        <v>0</v>
      </c>
      <c r="AX31" s="1022"/>
      <c r="AY31" s="1022"/>
      <c r="AZ31" s="1022">
        <v>0</v>
      </c>
      <c r="BA31" s="1022"/>
      <c r="BB31" s="995"/>
      <c r="BC31" s="996">
        <v>0.97520000000000007</v>
      </c>
      <c r="BD31" s="996"/>
      <c r="BE31" s="996">
        <v>0.97520000000000007</v>
      </c>
    </row>
    <row r="32" spans="1:161" ht="36.75" customHeight="1">
      <c r="A32" s="699">
        <v>13</v>
      </c>
      <c r="B32" s="1001" t="s">
        <v>1906</v>
      </c>
      <c r="C32" s="1022">
        <v>5956</v>
      </c>
      <c r="D32" s="1022">
        <v>0</v>
      </c>
      <c r="E32" s="1022">
        <v>0</v>
      </c>
      <c r="F32" s="1022">
        <v>0</v>
      </c>
      <c r="G32" s="1022">
        <v>5956</v>
      </c>
      <c r="H32" s="1022">
        <v>5956</v>
      </c>
      <c r="I32" s="1022">
        <v>0</v>
      </c>
      <c r="J32" s="1022">
        <v>4116</v>
      </c>
      <c r="K32" s="1022">
        <v>0</v>
      </c>
      <c r="L32" s="1022"/>
      <c r="M32" s="1022"/>
      <c r="N32" s="1022">
        <v>4116</v>
      </c>
      <c r="O32" s="1022">
        <v>4116</v>
      </c>
      <c r="P32" s="1022"/>
      <c r="Q32" s="1022">
        <v>0</v>
      </c>
      <c r="R32" s="1022">
        <v>0</v>
      </c>
      <c r="S32" s="1022"/>
      <c r="T32" s="1022"/>
      <c r="U32" s="1022">
        <v>0</v>
      </c>
      <c r="V32" s="1022">
        <v>0</v>
      </c>
      <c r="W32" s="1022"/>
      <c r="X32" s="1022">
        <v>1840</v>
      </c>
      <c r="Y32" s="1022">
        <v>0</v>
      </c>
      <c r="Z32" s="1022"/>
      <c r="AA32" s="1022"/>
      <c r="AB32" s="1022">
        <v>1840</v>
      </c>
      <c r="AC32" s="1022">
        <v>1840</v>
      </c>
      <c r="AD32" s="1022"/>
      <c r="AE32" s="1022">
        <v>3605.7140850000001</v>
      </c>
      <c r="AF32" s="1022">
        <v>0</v>
      </c>
      <c r="AG32" s="1022">
        <v>3605.7140850000001</v>
      </c>
      <c r="AH32" s="1022">
        <v>965.73779999999999</v>
      </c>
      <c r="AI32" s="1022">
        <v>0</v>
      </c>
      <c r="AJ32" s="1022"/>
      <c r="AK32" s="1022"/>
      <c r="AL32" s="1022">
        <v>965.73779999999999</v>
      </c>
      <c r="AM32" s="1022">
        <v>965.73779999999999</v>
      </c>
      <c r="AN32" s="1022"/>
      <c r="AO32" s="1022">
        <v>496.34</v>
      </c>
      <c r="AP32" s="1022">
        <v>0</v>
      </c>
      <c r="AQ32" s="1022"/>
      <c r="AR32" s="1022"/>
      <c r="AS32" s="1022">
        <v>496.34</v>
      </c>
      <c r="AT32" s="1022">
        <v>496.34</v>
      </c>
      <c r="AU32" s="1023"/>
      <c r="AV32" s="1022">
        <v>2143.636285</v>
      </c>
      <c r="AW32" s="1022">
        <v>0</v>
      </c>
      <c r="AX32" s="1022"/>
      <c r="AY32" s="1022"/>
      <c r="AZ32" s="1022">
        <v>2143.636285</v>
      </c>
      <c r="BA32" s="1022">
        <v>2143.636285</v>
      </c>
      <c r="BB32" s="995"/>
      <c r="BC32" s="996">
        <v>0.60539188801208865</v>
      </c>
      <c r="BD32" s="996"/>
      <c r="BE32" s="996">
        <v>0.60539188801208865</v>
      </c>
    </row>
    <row r="33" spans="1:161" ht="68.25" customHeight="1">
      <c r="A33" s="699">
        <v>14</v>
      </c>
      <c r="B33" s="1001" t="s">
        <v>1907</v>
      </c>
      <c r="C33" s="1022">
        <v>3540</v>
      </c>
      <c r="D33" s="1022">
        <v>3140</v>
      </c>
      <c r="E33" s="1022">
        <v>3140</v>
      </c>
      <c r="F33" s="1022">
        <v>0</v>
      </c>
      <c r="G33" s="1022">
        <v>400</v>
      </c>
      <c r="H33" s="1022">
        <v>400</v>
      </c>
      <c r="I33" s="1022">
        <v>0</v>
      </c>
      <c r="J33" s="1022">
        <v>3490</v>
      </c>
      <c r="K33" s="1022">
        <v>3140</v>
      </c>
      <c r="L33" s="1022">
        <v>3140</v>
      </c>
      <c r="M33" s="1022"/>
      <c r="N33" s="1022">
        <v>350</v>
      </c>
      <c r="O33" s="1022">
        <v>350</v>
      </c>
      <c r="P33" s="1022"/>
      <c r="Q33" s="1022">
        <v>0</v>
      </c>
      <c r="R33" s="1022">
        <v>0</v>
      </c>
      <c r="S33" s="1022"/>
      <c r="T33" s="1022"/>
      <c r="U33" s="1022">
        <v>0</v>
      </c>
      <c r="V33" s="1022">
        <v>0</v>
      </c>
      <c r="W33" s="1022"/>
      <c r="X33" s="1022">
        <v>50</v>
      </c>
      <c r="Y33" s="1022">
        <v>0</v>
      </c>
      <c r="Z33" s="1022"/>
      <c r="AA33" s="1022"/>
      <c r="AB33" s="1022">
        <v>50</v>
      </c>
      <c r="AC33" s="1022">
        <v>50</v>
      </c>
      <c r="AD33" s="1022"/>
      <c r="AE33" s="1022">
        <v>2959.19229</v>
      </c>
      <c r="AF33" s="1022">
        <v>2715.1109999999999</v>
      </c>
      <c r="AG33" s="1022">
        <v>244.08129</v>
      </c>
      <c r="AH33" s="1022">
        <v>2801.7889999999998</v>
      </c>
      <c r="AI33" s="1022">
        <v>2715.1109999999999</v>
      </c>
      <c r="AJ33" s="1022">
        <v>2715.1109999999999</v>
      </c>
      <c r="AK33" s="1022"/>
      <c r="AL33" s="1022">
        <v>86.677999999999997</v>
      </c>
      <c r="AM33" s="1022">
        <v>86.677999999999997</v>
      </c>
      <c r="AN33" s="1022"/>
      <c r="AO33" s="1022">
        <v>0</v>
      </c>
      <c r="AP33" s="1022">
        <v>0</v>
      </c>
      <c r="AQ33" s="1022"/>
      <c r="AR33" s="1022"/>
      <c r="AS33" s="1022">
        <v>0</v>
      </c>
      <c r="AT33" s="1022"/>
      <c r="AU33" s="1023"/>
      <c r="AV33" s="1022">
        <v>157.40329</v>
      </c>
      <c r="AW33" s="1022">
        <v>0</v>
      </c>
      <c r="AX33" s="1022"/>
      <c r="AY33" s="1022"/>
      <c r="AZ33" s="1022">
        <v>157.40329</v>
      </c>
      <c r="BA33" s="1022">
        <v>157.40329</v>
      </c>
      <c r="BB33" s="995"/>
      <c r="BC33" s="996">
        <v>0.83593002542372885</v>
      </c>
      <c r="BD33" s="996"/>
      <c r="BE33" s="996">
        <v>0.61020322500000002</v>
      </c>
    </row>
    <row r="34" spans="1:161" ht="36.75" customHeight="1">
      <c r="A34" s="699">
        <v>15</v>
      </c>
      <c r="B34" s="1001" t="s">
        <v>1908</v>
      </c>
      <c r="C34" s="1022">
        <v>6788</v>
      </c>
      <c r="D34" s="1022">
        <v>0</v>
      </c>
      <c r="E34" s="1022">
        <v>0</v>
      </c>
      <c r="F34" s="1022">
        <v>0</v>
      </c>
      <c r="G34" s="1022">
        <v>6788</v>
      </c>
      <c r="H34" s="1022">
        <v>6788</v>
      </c>
      <c r="I34" s="1022">
        <v>0</v>
      </c>
      <c r="J34" s="1022">
        <v>0</v>
      </c>
      <c r="K34" s="1022">
        <v>0</v>
      </c>
      <c r="L34" s="1022"/>
      <c r="M34" s="1022"/>
      <c r="N34" s="1022">
        <v>0</v>
      </c>
      <c r="O34" s="1022"/>
      <c r="P34" s="1022"/>
      <c r="Q34" s="1022">
        <v>100</v>
      </c>
      <c r="R34" s="1022">
        <v>0</v>
      </c>
      <c r="S34" s="1022"/>
      <c r="T34" s="1022"/>
      <c r="U34" s="1022">
        <v>100</v>
      </c>
      <c r="V34" s="1022">
        <v>100</v>
      </c>
      <c r="W34" s="1022"/>
      <c r="X34" s="1022">
        <v>6688</v>
      </c>
      <c r="Y34" s="1022">
        <v>0</v>
      </c>
      <c r="Z34" s="1022"/>
      <c r="AA34" s="1022"/>
      <c r="AB34" s="1022">
        <v>6688</v>
      </c>
      <c r="AC34" s="1022">
        <v>6688</v>
      </c>
      <c r="AD34" s="1022"/>
      <c r="AE34" s="1022">
        <v>150.44999999999999</v>
      </c>
      <c r="AF34" s="1022">
        <v>0</v>
      </c>
      <c r="AG34" s="1022">
        <v>150.44999999999999</v>
      </c>
      <c r="AH34" s="1022">
        <v>0</v>
      </c>
      <c r="AI34" s="1022">
        <v>0</v>
      </c>
      <c r="AJ34" s="1022"/>
      <c r="AK34" s="1022"/>
      <c r="AL34" s="1022">
        <v>0</v>
      </c>
      <c r="AM34" s="1022"/>
      <c r="AN34" s="1022"/>
      <c r="AO34" s="1022">
        <v>59.25</v>
      </c>
      <c r="AP34" s="1022">
        <v>0</v>
      </c>
      <c r="AQ34" s="1022"/>
      <c r="AR34" s="1022"/>
      <c r="AS34" s="1022">
        <v>59.25</v>
      </c>
      <c r="AT34" s="1022">
        <v>59.25</v>
      </c>
      <c r="AU34" s="1023"/>
      <c r="AV34" s="1022">
        <v>91.2</v>
      </c>
      <c r="AW34" s="1022">
        <v>0</v>
      </c>
      <c r="AX34" s="1022"/>
      <c r="AY34" s="1022"/>
      <c r="AZ34" s="1022">
        <v>91.2</v>
      </c>
      <c r="BA34" s="1022">
        <v>91.2</v>
      </c>
      <c r="BB34" s="995"/>
      <c r="BC34" s="996">
        <v>2.2164113140836769E-2</v>
      </c>
      <c r="BD34" s="996"/>
      <c r="BE34" s="996">
        <v>2.2164113140836769E-2</v>
      </c>
    </row>
    <row r="35" spans="1:161" ht="36.75" customHeight="1">
      <c r="A35" s="699">
        <v>16</v>
      </c>
      <c r="B35" s="1001" t="s">
        <v>509</v>
      </c>
      <c r="C35" s="1022">
        <v>150</v>
      </c>
      <c r="D35" s="1022">
        <v>0</v>
      </c>
      <c r="E35" s="1022">
        <v>0</v>
      </c>
      <c r="F35" s="1022">
        <v>0</v>
      </c>
      <c r="G35" s="1022">
        <v>150</v>
      </c>
      <c r="H35" s="1022">
        <v>150</v>
      </c>
      <c r="I35" s="1022">
        <v>0</v>
      </c>
      <c r="J35" s="1022">
        <v>0</v>
      </c>
      <c r="K35" s="1022">
        <v>0</v>
      </c>
      <c r="L35" s="1022"/>
      <c r="M35" s="1022"/>
      <c r="N35" s="1022">
        <v>0</v>
      </c>
      <c r="O35" s="1022"/>
      <c r="P35" s="1022"/>
      <c r="Q35" s="1022">
        <v>100</v>
      </c>
      <c r="R35" s="1022">
        <v>0</v>
      </c>
      <c r="S35" s="1022"/>
      <c r="T35" s="1022"/>
      <c r="U35" s="1022">
        <v>100</v>
      </c>
      <c r="V35" s="1022">
        <v>100</v>
      </c>
      <c r="W35" s="1022"/>
      <c r="X35" s="1022">
        <v>50</v>
      </c>
      <c r="Y35" s="1022">
        <v>0</v>
      </c>
      <c r="Z35" s="1022"/>
      <c r="AA35" s="1022"/>
      <c r="AB35" s="1022">
        <v>50</v>
      </c>
      <c r="AC35" s="1022">
        <v>50</v>
      </c>
      <c r="AD35" s="1022"/>
      <c r="AE35" s="1022">
        <v>128.14999999999998</v>
      </c>
      <c r="AF35" s="1022">
        <v>0</v>
      </c>
      <c r="AG35" s="1022">
        <v>128.14999999999998</v>
      </c>
      <c r="AH35" s="1022">
        <v>0</v>
      </c>
      <c r="AI35" s="1022">
        <v>0</v>
      </c>
      <c r="AJ35" s="1022"/>
      <c r="AK35" s="1022"/>
      <c r="AL35" s="1022">
        <v>0</v>
      </c>
      <c r="AM35" s="1022"/>
      <c r="AN35" s="1022"/>
      <c r="AO35" s="1022">
        <v>89.74</v>
      </c>
      <c r="AP35" s="1022">
        <v>0</v>
      </c>
      <c r="AQ35" s="1022"/>
      <c r="AR35" s="1022"/>
      <c r="AS35" s="1022">
        <v>89.74</v>
      </c>
      <c r="AT35" s="1022">
        <v>89.74</v>
      </c>
      <c r="AU35" s="1023"/>
      <c r="AV35" s="1022">
        <v>38.409999999999997</v>
      </c>
      <c r="AW35" s="1022">
        <v>0</v>
      </c>
      <c r="AX35" s="1022"/>
      <c r="AY35" s="1022"/>
      <c r="AZ35" s="1022">
        <v>38.409999999999997</v>
      </c>
      <c r="BA35" s="1022">
        <v>38.409999999999997</v>
      </c>
      <c r="BB35" s="995"/>
      <c r="BC35" s="996">
        <v>0.85433333333333317</v>
      </c>
      <c r="BD35" s="996"/>
      <c r="BE35" s="996">
        <v>0.85433333333333317</v>
      </c>
    </row>
    <row r="36" spans="1:161" ht="48" customHeight="1">
      <c r="A36" s="699">
        <v>17</v>
      </c>
      <c r="B36" s="1001" t="s">
        <v>484</v>
      </c>
      <c r="C36" s="1022">
        <v>11930</v>
      </c>
      <c r="D36" s="1022">
        <v>0</v>
      </c>
      <c r="E36" s="1022">
        <v>0</v>
      </c>
      <c r="F36" s="1022">
        <v>0</v>
      </c>
      <c r="G36" s="1022">
        <v>11930</v>
      </c>
      <c r="H36" s="1022">
        <v>11930</v>
      </c>
      <c r="I36" s="1022">
        <v>0</v>
      </c>
      <c r="J36" s="1022">
        <v>10515</v>
      </c>
      <c r="K36" s="1022">
        <v>0</v>
      </c>
      <c r="L36" s="1022"/>
      <c r="M36" s="1022"/>
      <c r="N36" s="1022">
        <v>10515</v>
      </c>
      <c r="O36" s="1022">
        <v>10515</v>
      </c>
      <c r="P36" s="1022"/>
      <c r="Q36" s="1022">
        <v>1215</v>
      </c>
      <c r="R36" s="1022">
        <v>0</v>
      </c>
      <c r="S36" s="1022"/>
      <c r="T36" s="1022"/>
      <c r="U36" s="1022">
        <v>1215</v>
      </c>
      <c r="V36" s="1022">
        <v>1215</v>
      </c>
      <c r="W36" s="1022"/>
      <c r="X36" s="1022">
        <v>200</v>
      </c>
      <c r="Y36" s="1022">
        <v>0</v>
      </c>
      <c r="Z36" s="1022"/>
      <c r="AA36" s="1022"/>
      <c r="AB36" s="1022">
        <v>200</v>
      </c>
      <c r="AC36" s="1022">
        <v>200</v>
      </c>
      <c r="AD36" s="1022"/>
      <c r="AE36" s="1022">
        <v>13456.286500000002</v>
      </c>
      <c r="AF36" s="1022">
        <v>0</v>
      </c>
      <c r="AG36" s="1022">
        <v>13456.286500000002</v>
      </c>
      <c r="AH36" s="1022">
        <v>10822.621500000001</v>
      </c>
      <c r="AI36" s="1022">
        <v>0</v>
      </c>
      <c r="AJ36" s="1022"/>
      <c r="AK36" s="1022"/>
      <c r="AL36" s="1022">
        <v>10822.621500000001</v>
      </c>
      <c r="AM36" s="1022">
        <v>10822.621500000001</v>
      </c>
      <c r="AN36" s="1022"/>
      <c r="AO36" s="1022">
        <v>2633.665</v>
      </c>
      <c r="AP36" s="1022">
        <v>0</v>
      </c>
      <c r="AQ36" s="1022"/>
      <c r="AR36" s="1022"/>
      <c r="AS36" s="1022">
        <v>2633.665</v>
      </c>
      <c r="AT36" s="1022">
        <v>2633.665</v>
      </c>
      <c r="AU36" s="1023"/>
      <c r="AV36" s="1022">
        <v>0</v>
      </c>
      <c r="AW36" s="1022">
        <v>0</v>
      </c>
      <c r="AX36" s="1022"/>
      <c r="AY36" s="1022"/>
      <c r="AZ36" s="1022">
        <v>0</v>
      </c>
      <c r="BA36" s="1022">
        <v>0</v>
      </c>
      <c r="BB36" s="995"/>
      <c r="BC36" s="996">
        <v>1.1279368398994134</v>
      </c>
      <c r="BD36" s="996"/>
      <c r="BE36" s="996">
        <v>1.1279368398994134</v>
      </c>
    </row>
    <row r="37" spans="1:161" s="735" customFormat="1" ht="43.5" customHeight="1">
      <c r="A37" s="699">
        <v>18</v>
      </c>
      <c r="B37" s="1001" t="s">
        <v>1909</v>
      </c>
      <c r="C37" s="1022">
        <v>2586</v>
      </c>
      <c r="D37" s="1022">
        <v>0</v>
      </c>
      <c r="E37" s="1022">
        <v>0</v>
      </c>
      <c r="F37" s="1022">
        <v>0</v>
      </c>
      <c r="G37" s="1022">
        <v>2586</v>
      </c>
      <c r="H37" s="1022">
        <v>2586</v>
      </c>
      <c r="I37" s="1022">
        <v>0</v>
      </c>
      <c r="J37" s="1022">
        <v>2586</v>
      </c>
      <c r="K37" s="1022">
        <v>0</v>
      </c>
      <c r="L37" s="1022"/>
      <c r="M37" s="1022"/>
      <c r="N37" s="1022">
        <v>2586</v>
      </c>
      <c r="O37" s="1022">
        <v>2586</v>
      </c>
      <c r="P37" s="1022"/>
      <c r="Q37" s="1022">
        <v>0</v>
      </c>
      <c r="R37" s="1022">
        <v>0</v>
      </c>
      <c r="S37" s="1022"/>
      <c r="T37" s="1022"/>
      <c r="U37" s="1022">
        <v>0</v>
      </c>
      <c r="V37" s="1022"/>
      <c r="W37" s="1022"/>
      <c r="X37" s="1022">
        <v>0</v>
      </c>
      <c r="Y37" s="1022">
        <v>0</v>
      </c>
      <c r="Z37" s="1022"/>
      <c r="AA37" s="1022"/>
      <c r="AB37" s="1022">
        <v>0</v>
      </c>
      <c r="AC37" s="1022"/>
      <c r="AD37" s="1022"/>
      <c r="AE37" s="1022">
        <v>4222.7470000000003</v>
      </c>
      <c r="AF37" s="1022">
        <v>0</v>
      </c>
      <c r="AG37" s="1022">
        <v>4222.7470000000003</v>
      </c>
      <c r="AH37" s="1022">
        <v>4222.7470000000003</v>
      </c>
      <c r="AI37" s="1022">
        <v>0</v>
      </c>
      <c r="AJ37" s="1022"/>
      <c r="AK37" s="1022"/>
      <c r="AL37" s="1022">
        <v>4222.7470000000003</v>
      </c>
      <c r="AM37" s="1022">
        <v>4222.7470000000003</v>
      </c>
      <c r="AN37" s="1022"/>
      <c r="AO37" s="1022">
        <v>0</v>
      </c>
      <c r="AP37" s="1022">
        <v>0</v>
      </c>
      <c r="AQ37" s="1022"/>
      <c r="AR37" s="1022"/>
      <c r="AS37" s="1022">
        <v>0</v>
      </c>
      <c r="AT37" s="1022"/>
      <c r="AU37" s="1023"/>
      <c r="AV37" s="1022">
        <v>0</v>
      </c>
      <c r="AW37" s="1022">
        <v>0</v>
      </c>
      <c r="AX37" s="1022"/>
      <c r="AY37" s="1022"/>
      <c r="AZ37" s="1022">
        <v>0</v>
      </c>
      <c r="BA37" s="1022"/>
      <c r="BB37" s="995"/>
      <c r="BC37" s="996">
        <v>1.6329261407579274</v>
      </c>
      <c r="BD37" s="996"/>
      <c r="BE37" s="996">
        <v>1.6329261407579274</v>
      </c>
      <c r="BF37" s="612"/>
      <c r="BG37" s="612"/>
      <c r="BH37" s="612"/>
      <c r="BI37" s="612"/>
      <c r="BJ37" s="612"/>
      <c r="BK37" s="612"/>
      <c r="BL37" s="612"/>
      <c r="BM37" s="612"/>
      <c r="BN37" s="612"/>
      <c r="BO37" s="612"/>
      <c r="BP37" s="612"/>
      <c r="BQ37" s="612"/>
      <c r="BR37" s="612"/>
      <c r="BS37" s="612"/>
      <c r="BT37" s="612"/>
      <c r="BU37" s="612"/>
      <c r="BV37" s="612"/>
      <c r="BW37" s="612"/>
      <c r="BX37" s="612"/>
      <c r="BY37" s="612"/>
      <c r="BZ37" s="612"/>
      <c r="CA37" s="612"/>
      <c r="CB37" s="612"/>
      <c r="CC37" s="612"/>
      <c r="CD37" s="612"/>
      <c r="CE37" s="612"/>
      <c r="CF37" s="612"/>
      <c r="CG37" s="612"/>
      <c r="CH37" s="612"/>
      <c r="CI37" s="612"/>
      <c r="CJ37" s="612"/>
      <c r="CK37" s="612"/>
      <c r="CL37" s="612"/>
      <c r="CM37" s="612"/>
      <c r="CN37" s="612"/>
      <c r="CO37" s="612"/>
      <c r="CP37" s="612"/>
      <c r="CQ37" s="612"/>
      <c r="CR37" s="612"/>
      <c r="CS37" s="612"/>
      <c r="CT37" s="612"/>
      <c r="CU37" s="612"/>
      <c r="CV37" s="612"/>
      <c r="CW37" s="612"/>
      <c r="CX37" s="612"/>
      <c r="CY37" s="612"/>
      <c r="CZ37" s="612"/>
      <c r="DA37" s="612"/>
      <c r="DB37" s="612"/>
      <c r="DC37" s="612"/>
      <c r="DD37" s="612"/>
      <c r="DE37" s="612"/>
      <c r="DF37" s="612"/>
      <c r="DG37" s="612"/>
      <c r="DH37" s="612"/>
      <c r="DI37" s="612"/>
      <c r="DJ37" s="612"/>
      <c r="DK37" s="612"/>
      <c r="DL37" s="612"/>
      <c r="DM37" s="612"/>
      <c r="DN37" s="612"/>
      <c r="DO37" s="612"/>
      <c r="DP37" s="612"/>
      <c r="DQ37" s="612"/>
      <c r="DR37" s="612"/>
      <c r="DS37" s="612"/>
      <c r="DT37" s="612"/>
      <c r="DU37" s="612"/>
      <c r="DV37" s="612"/>
      <c r="DW37" s="612"/>
      <c r="DX37" s="612"/>
      <c r="DY37" s="612"/>
      <c r="DZ37" s="612"/>
      <c r="EA37" s="612"/>
      <c r="EB37" s="612"/>
      <c r="EC37" s="612"/>
      <c r="ED37" s="612"/>
      <c r="EE37" s="612"/>
      <c r="EF37" s="612"/>
      <c r="EG37" s="612"/>
      <c r="EH37" s="612"/>
      <c r="EI37" s="612"/>
      <c r="EJ37" s="612"/>
      <c r="EK37" s="612"/>
      <c r="EL37" s="612"/>
      <c r="EM37" s="612"/>
      <c r="EN37" s="612"/>
      <c r="EO37" s="612"/>
      <c r="EP37" s="612"/>
      <c r="EQ37" s="612"/>
      <c r="ER37" s="612"/>
      <c r="ES37" s="612"/>
      <c r="ET37" s="612"/>
      <c r="EU37" s="612"/>
      <c r="EV37" s="612"/>
      <c r="EW37" s="612"/>
      <c r="EX37" s="612"/>
      <c r="EY37" s="612"/>
      <c r="EZ37" s="612"/>
      <c r="FA37" s="612"/>
      <c r="FB37" s="612"/>
      <c r="FC37" s="612"/>
      <c r="FD37" s="612"/>
      <c r="FE37" s="612"/>
    </row>
    <row r="38" spans="1:161" ht="43.5" customHeight="1">
      <c r="A38" s="699">
        <v>19</v>
      </c>
      <c r="B38" s="1001" t="s">
        <v>2190</v>
      </c>
      <c r="C38" s="1022">
        <v>1400</v>
      </c>
      <c r="D38" s="1022">
        <v>0</v>
      </c>
      <c r="E38" s="1022">
        <v>0</v>
      </c>
      <c r="F38" s="1022">
        <v>0</v>
      </c>
      <c r="G38" s="1022">
        <v>1400</v>
      </c>
      <c r="H38" s="1022">
        <v>1400</v>
      </c>
      <c r="I38" s="1022">
        <v>0</v>
      </c>
      <c r="J38" s="1022">
        <v>1400</v>
      </c>
      <c r="K38" s="1022">
        <v>0</v>
      </c>
      <c r="L38" s="1022"/>
      <c r="M38" s="1022"/>
      <c r="N38" s="1022">
        <v>1400</v>
      </c>
      <c r="O38" s="1022">
        <v>1400</v>
      </c>
      <c r="P38" s="1022"/>
      <c r="Q38" s="1022">
        <v>0</v>
      </c>
      <c r="R38" s="1022">
        <v>0</v>
      </c>
      <c r="S38" s="1022"/>
      <c r="T38" s="1022"/>
      <c r="U38" s="1022">
        <v>0</v>
      </c>
      <c r="V38" s="1022"/>
      <c r="W38" s="1022"/>
      <c r="X38" s="1022">
        <v>0</v>
      </c>
      <c r="Y38" s="1022">
        <v>0</v>
      </c>
      <c r="Z38" s="1022"/>
      <c r="AA38" s="1022"/>
      <c r="AB38" s="1022">
        <v>0</v>
      </c>
      <c r="AC38" s="1022"/>
      <c r="AD38" s="1022"/>
      <c r="AE38" s="1022">
        <v>1387.2234000000001</v>
      </c>
      <c r="AF38" s="1022">
        <v>0</v>
      </c>
      <c r="AG38" s="1022">
        <v>1387.2234000000001</v>
      </c>
      <c r="AH38" s="1022">
        <v>1387.2234000000001</v>
      </c>
      <c r="AI38" s="1022">
        <v>0</v>
      </c>
      <c r="AJ38" s="1022"/>
      <c r="AK38" s="1022"/>
      <c r="AL38" s="1022">
        <v>1387.2234000000001</v>
      </c>
      <c r="AM38" s="1022">
        <v>1387.2234000000001</v>
      </c>
      <c r="AN38" s="1022"/>
      <c r="AO38" s="1022">
        <v>0</v>
      </c>
      <c r="AP38" s="1022">
        <v>0</v>
      </c>
      <c r="AQ38" s="1022"/>
      <c r="AR38" s="1022"/>
      <c r="AS38" s="1022">
        <v>0</v>
      </c>
      <c r="AT38" s="1022"/>
      <c r="AU38" s="1023"/>
      <c r="AV38" s="1022">
        <v>0</v>
      </c>
      <c r="AW38" s="1022">
        <v>0</v>
      </c>
      <c r="AX38" s="1022"/>
      <c r="AY38" s="1022"/>
      <c r="AZ38" s="1022">
        <v>0</v>
      </c>
      <c r="BA38" s="1022"/>
      <c r="BB38" s="995"/>
      <c r="BC38" s="996">
        <v>0.99087385714285725</v>
      </c>
      <c r="BD38" s="996"/>
      <c r="BE38" s="996">
        <v>0.99087385714285725</v>
      </c>
    </row>
    <row r="39" spans="1:161" ht="43.5" customHeight="1">
      <c r="A39" s="699">
        <v>20</v>
      </c>
      <c r="B39" s="1001" t="s">
        <v>2673</v>
      </c>
      <c r="C39" s="1022">
        <v>1800</v>
      </c>
      <c r="D39" s="1022">
        <v>0</v>
      </c>
      <c r="E39" s="1022">
        <v>0</v>
      </c>
      <c r="F39" s="1022">
        <v>0</v>
      </c>
      <c r="G39" s="1022">
        <v>1800</v>
      </c>
      <c r="H39" s="1022">
        <v>1800</v>
      </c>
      <c r="I39" s="1022">
        <v>0</v>
      </c>
      <c r="J39" s="1022">
        <v>1800</v>
      </c>
      <c r="K39" s="1022"/>
      <c r="L39" s="1022"/>
      <c r="M39" s="1022"/>
      <c r="N39" s="1022">
        <v>1800</v>
      </c>
      <c r="O39" s="1022">
        <v>1800</v>
      </c>
      <c r="P39" s="1022"/>
      <c r="Q39" s="1022"/>
      <c r="R39" s="1022"/>
      <c r="S39" s="1022"/>
      <c r="T39" s="1022"/>
      <c r="U39" s="1022"/>
      <c r="V39" s="1022"/>
      <c r="W39" s="1022"/>
      <c r="X39" s="1022"/>
      <c r="Y39" s="1022"/>
      <c r="Z39" s="1022"/>
      <c r="AA39" s="1022"/>
      <c r="AB39" s="1022">
        <v>0</v>
      </c>
      <c r="AC39" s="1022"/>
      <c r="AD39" s="1022"/>
      <c r="AE39" s="1022">
        <v>186.959</v>
      </c>
      <c r="AF39" s="1022">
        <v>0</v>
      </c>
      <c r="AG39" s="1022">
        <v>186.959</v>
      </c>
      <c r="AH39" s="1022">
        <v>186.959</v>
      </c>
      <c r="AI39" s="1022">
        <v>0</v>
      </c>
      <c r="AJ39" s="1022"/>
      <c r="AK39" s="1022"/>
      <c r="AL39" s="1022">
        <v>186.959</v>
      </c>
      <c r="AM39" s="1022">
        <v>186.959</v>
      </c>
      <c r="AN39" s="1022"/>
      <c r="AO39" s="1022">
        <v>0</v>
      </c>
      <c r="AP39" s="1022">
        <v>0</v>
      </c>
      <c r="AQ39" s="1022"/>
      <c r="AR39" s="1022"/>
      <c r="AS39" s="1022">
        <v>0</v>
      </c>
      <c r="AT39" s="1022"/>
      <c r="AU39" s="1023"/>
      <c r="AV39" s="1022">
        <v>0</v>
      </c>
      <c r="AW39" s="1022">
        <v>0</v>
      </c>
      <c r="AX39" s="1022"/>
      <c r="AY39" s="1022"/>
      <c r="AZ39" s="1022">
        <v>0</v>
      </c>
      <c r="BA39" s="1022"/>
      <c r="BB39" s="995"/>
      <c r="BC39" s="996"/>
      <c r="BD39" s="996"/>
      <c r="BE39" s="996"/>
    </row>
    <row r="40" spans="1:161" ht="63.75" customHeight="1">
      <c r="A40" s="699">
        <v>21</v>
      </c>
      <c r="B40" s="1001" t="s">
        <v>1910</v>
      </c>
      <c r="C40" s="1022">
        <v>0</v>
      </c>
      <c r="D40" s="1022">
        <v>0</v>
      </c>
      <c r="E40" s="1022">
        <v>0</v>
      </c>
      <c r="F40" s="1022">
        <v>0</v>
      </c>
      <c r="G40" s="1022">
        <v>0</v>
      </c>
      <c r="H40" s="1022">
        <v>0</v>
      </c>
      <c r="I40" s="1022">
        <v>0</v>
      </c>
      <c r="J40" s="1022">
        <v>0</v>
      </c>
      <c r="K40" s="1022">
        <v>0</v>
      </c>
      <c r="L40" s="1022"/>
      <c r="M40" s="1022"/>
      <c r="N40" s="1022">
        <v>0</v>
      </c>
      <c r="O40" s="1022"/>
      <c r="P40" s="1022"/>
      <c r="Q40" s="1022">
        <v>0</v>
      </c>
      <c r="R40" s="1022">
        <v>0</v>
      </c>
      <c r="S40" s="1022"/>
      <c r="T40" s="1022"/>
      <c r="U40" s="1022">
        <v>0</v>
      </c>
      <c r="V40" s="1022"/>
      <c r="W40" s="1022"/>
      <c r="X40" s="1022">
        <v>0</v>
      </c>
      <c r="Y40" s="1022">
        <v>0</v>
      </c>
      <c r="Z40" s="1022"/>
      <c r="AA40" s="1022"/>
      <c r="AB40" s="1022">
        <v>0</v>
      </c>
      <c r="AC40" s="1022"/>
      <c r="AD40" s="1022"/>
      <c r="AE40" s="1022">
        <v>303.14</v>
      </c>
      <c r="AF40" s="1022">
        <v>0</v>
      </c>
      <c r="AG40" s="1022">
        <v>303.14</v>
      </c>
      <c r="AH40" s="1022">
        <v>0</v>
      </c>
      <c r="AI40" s="1022">
        <v>0</v>
      </c>
      <c r="AJ40" s="1022"/>
      <c r="AK40" s="1022"/>
      <c r="AL40" s="1022">
        <v>0</v>
      </c>
      <c r="AM40" s="1022"/>
      <c r="AN40" s="1022"/>
      <c r="AO40" s="1022">
        <v>303.14</v>
      </c>
      <c r="AP40" s="1022">
        <v>0</v>
      </c>
      <c r="AQ40" s="1022"/>
      <c r="AR40" s="1022"/>
      <c r="AS40" s="1022">
        <v>303.14</v>
      </c>
      <c r="AT40" s="1022">
        <v>303.14</v>
      </c>
      <c r="AU40" s="1023"/>
      <c r="AV40" s="1022">
        <v>0</v>
      </c>
      <c r="AW40" s="1022">
        <v>0</v>
      </c>
      <c r="AX40" s="1022"/>
      <c r="AY40" s="1022"/>
      <c r="AZ40" s="1022">
        <v>0</v>
      </c>
      <c r="BA40" s="1022"/>
      <c r="BB40" s="995"/>
      <c r="BC40" s="996" t="e">
        <v>#DIV/0!</v>
      </c>
      <c r="BD40" s="996"/>
      <c r="BE40" s="996" t="e">
        <v>#DIV/0!</v>
      </c>
    </row>
    <row r="41" spans="1:161" ht="46.5" customHeight="1">
      <c r="A41" s="699">
        <v>22</v>
      </c>
      <c r="B41" s="1001" t="s">
        <v>1863</v>
      </c>
      <c r="C41" s="1022">
        <v>350</v>
      </c>
      <c r="D41" s="1022">
        <v>0</v>
      </c>
      <c r="E41" s="1022">
        <v>0</v>
      </c>
      <c r="F41" s="1022">
        <v>0</v>
      </c>
      <c r="G41" s="1022">
        <v>350</v>
      </c>
      <c r="H41" s="1022">
        <v>350</v>
      </c>
      <c r="I41" s="1022">
        <v>0</v>
      </c>
      <c r="J41" s="1022">
        <v>0</v>
      </c>
      <c r="K41" s="1022">
        <v>0</v>
      </c>
      <c r="L41" s="1022"/>
      <c r="M41" s="1022"/>
      <c r="N41" s="1022">
        <v>0</v>
      </c>
      <c r="O41" s="1022"/>
      <c r="P41" s="1022"/>
      <c r="Q41" s="1022">
        <v>350</v>
      </c>
      <c r="R41" s="1022">
        <v>0</v>
      </c>
      <c r="S41" s="1022"/>
      <c r="T41" s="1022"/>
      <c r="U41" s="1022">
        <v>350</v>
      </c>
      <c r="V41" s="1022">
        <v>350</v>
      </c>
      <c r="W41" s="1022"/>
      <c r="X41" s="1022">
        <v>0</v>
      </c>
      <c r="Y41" s="1022">
        <v>0</v>
      </c>
      <c r="Z41" s="1022"/>
      <c r="AA41" s="1022"/>
      <c r="AB41" s="1022">
        <v>0</v>
      </c>
      <c r="AC41" s="1022"/>
      <c r="AD41" s="1022"/>
      <c r="AE41" s="1022">
        <v>347.43</v>
      </c>
      <c r="AF41" s="1022">
        <v>0</v>
      </c>
      <c r="AG41" s="1022">
        <v>347.43</v>
      </c>
      <c r="AH41" s="1022">
        <v>0</v>
      </c>
      <c r="AI41" s="1022">
        <v>0</v>
      </c>
      <c r="AJ41" s="1022"/>
      <c r="AK41" s="1022"/>
      <c r="AL41" s="1022">
        <v>0</v>
      </c>
      <c r="AM41" s="1022"/>
      <c r="AN41" s="1022"/>
      <c r="AO41" s="1022">
        <v>347.43</v>
      </c>
      <c r="AP41" s="1022">
        <v>0</v>
      </c>
      <c r="AQ41" s="1022"/>
      <c r="AR41" s="1022"/>
      <c r="AS41" s="1022">
        <v>347.43</v>
      </c>
      <c r="AT41" s="1022">
        <v>347.43</v>
      </c>
      <c r="AU41" s="1023"/>
      <c r="AV41" s="1022">
        <v>0</v>
      </c>
      <c r="AW41" s="1022">
        <v>0</v>
      </c>
      <c r="AX41" s="1022"/>
      <c r="AY41" s="1022"/>
      <c r="AZ41" s="1022">
        <v>0</v>
      </c>
      <c r="BA41" s="1022"/>
      <c r="BB41" s="995"/>
      <c r="BC41" s="996">
        <v>0.9926571428571429</v>
      </c>
      <c r="BD41" s="996"/>
      <c r="BE41" s="996">
        <v>0.9926571428571429</v>
      </c>
    </row>
    <row r="42" spans="1:161" ht="36.75" customHeight="1">
      <c r="A42" s="699">
        <v>23</v>
      </c>
      <c r="B42" s="1001" t="s">
        <v>1911</v>
      </c>
      <c r="C42" s="1022">
        <v>1275</v>
      </c>
      <c r="D42" s="1022">
        <v>0</v>
      </c>
      <c r="E42" s="1022">
        <v>0</v>
      </c>
      <c r="F42" s="1022">
        <v>0</v>
      </c>
      <c r="G42" s="1022">
        <v>1275</v>
      </c>
      <c r="H42" s="1022">
        <v>1275</v>
      </c>
      <c r="I42" s="1022">
        <v>0</v>
      </c>
      <c r="J42" s="1022">
        <v>0</v>
      </c>
      <c r="K42" s="1022">
        <v>0</v>
      </c>
      <c r="L42" s="1022"/>
      <c r="M42" s="1022"/>
      <c r="N42" s="1022">
        <v>0</v>
      </c>
      <c r="O42" s="1022"/>
      <c r="P42" s="1022"/>
      <c r="Q42" s="1022">
        <v>1275</v>
      </c>
      <c r="R42" s="1022">
        <v>0</v>
      </c>
      <c r="S42" s="1022"/>
      <c r="T42" s="1022"/>
      <c r="U42" s="1022">
        <v>1275</v>
      </c>
      <c r="V42" s="1022">
        <v>1275</v>
      </c>
      <c r="W42" s="1022"/>
      <c r="X42" s="1022">
        <v>0</v>
      </c>
      <c r="Y42" s="1022">
        <v>0</v>
      </c>
      <c r="Z42" s="1022"/>
      <c r="AA42" s="1022"/>
      <c r="AB42" s="1022">
        <v>0</v>
      </c>
      <c r="AC42" s="1022"/>
      <c r="AD42" s="1022"/>
      <c r="AE42" s="1022">
        <v>1522.37</v>
      </c>
      <c r="AF42" s="1022">
        <v>0</v>
      </c>
      <c r="AG42" s="1022">
        <v>1522.37</v>
      </c>
      <c r="AH42" s="1022">
        <v>0</v>
      </c>
      <c r="AI42" s="1022">
        <v>0</v>
      </c>
      <c r="AJ42" s="1022"/>
      <c r="AK42" s="1022"/>
      <c r="AL42" s="1022">
        <v>0</v>
      </c>
      <c r="AM42" s="1022"/>
      <c r="AN42" s="1022"/>
      <c r="AO42" s="1022">
        <v>1522.37</v>
      </c>
      <c r="AP42" s="1022">
        <v>0</v>
      </c>
      <c r="AQ42" s="1022"/>
      <c r="AR42" s="1022"/>
      <c r="AS42" s="1022">
        <v>1522.37</v>
      </c>
      <c r="AT42" s="1022">
        <v>1522.37</v>
      </c>
      <c r="AU42" s="1023"/>
      <c r="AV42" s="1022">
        <v>0</v>
      </c>
      <c r="AW42" s="1022">
        <v>0</v>
      </c>
      <c r="AX42" s="1022"/>
      <c r="AY42" s="1022"/>
      <c r="AZ42" s="1022">
        <v>0</v>
      </c>
      <c r="BA42" s="1022"/>
      <c r="BB42" s="995"/>
      <c r="BC42" s="996">
        <v>1.1940156862745097</v>
      </c>
      <c r="BD42" s="996"/>
      <c r="BE42" s="996">
        <v>1.1940156862745097</v>
      </c>
    </row>
    <row r="43" spans="1:161" ht="36.75" customHeight="1">
      <c r="A43" s="699">
        <v>24</v>
      </c>
      <c r="B43" s="1001" t="s">
        <v>545</v>
      </c>
      <c r="C43" s="1022">
        <v>100</v>
      </c>
      <c r="D43" s="1022">
        <v>0</v>
      </c>
      <c r="E43" s="1022">
        <v>0</v>
      </c>
      <c r="F43" s="1022">
        <v>0</v>
      </c>
      <c r="G43" s="1022">
        <v>100</v>
      </c>
      <c r="H43" s="1022">
        <v>100</v>
      </c>
      <c r="I43" s="1022">
        <v>0</v>
      </c>
      <c r="J43" s="1022">
        <v>100</v>
      </c>
      <c r="K43" s="1022">
        <v>0</v>
      </c>
      <c r="L43" s="1022"/>
      <c r="M43" s="1022"/>
      <c r="N43" s="1022">
        <v>100</v>
      </c>
      <c r="O43" s="1022">
        <v>100</v>
      </c>
      <c r="P43" s="1022"/>
      <c r="Q43" s="1022">
        <v>0</v>
      </c>
      <c r="R43" s="1022">
        <v>0</v>
      </c>
      <c r="S43" s="1022"/>
      <c r="T43" s="1022"/>
      <c r="U43" s="1022">
        <v>0</v>
      </c>
      <c r="V43" s="1022"/>
      <c r="W43" s="1022"/>
      <c r="X43" s="1022">
        <v>0</v>
      </c>
      <c r="Y43" s="1022">
        <v>0</v>
      </c>
      <c r="Z43" s="1022"/>
      <c r="AA43" s="1022"/>
      <c r="AB43" s="1022">
        <v>0</v>
      </c>
      <c r="AC43" s="1022"/>
      <c r="AD43" s="1022"/>
      <c r="AE43" s="1022">
        <v>100</v>
      </c>
      <c r="AF43" s="1022">
        <v>0</v>
      </c>
      <c r="AG43" s="1022">
        <v>100</v>
      </c>
      <c r="AH43" s="1022">
        <v>100</v>
      </c>
      <c r="AI43" s="1022">
        <v>0</v>
      </c>
      <c r="AJ43" s="1022"/>
      <c r="AK43" s="1022"/>
      <c r="AL43" s="1022">
        <v>100</v>
      </c>
      <c r="AM43" s="1022">
        <v>100</v>
      </c>
      <c r="AN43" s="1022"/>
      <c r="AO43" s="1022">
        <v>0</v>
      </c>
      <c r="AP43" s="1022">
        <v>0</v>
      </c>
      <c r="AQ43" s="1022"/>
      <c r="AR43" s="1022"/>
      <c r="AS43" s="1022">
        <v>0</v>
      </c>
      <c r="AT43" s="1022"/>
      <c r="AU43" s="1023"/>
      <c r="AV43" s="1022">
        <v>0</v>
      </c>
      <c r="AW43" s="1022">
        <v>0</v>
      </c>
      <c r="AX43" s="1022"/>
      <c r="AY43" s="1022"/>
      <c r="AZ43" s="1022">
        <v>0</v>
      </c>
      <c r="BA43" s="1022"/>
      <c r="BB43" s="995"/>
      <c r="BC43" s="996">
        <v>1</v>
      </c>
      <c r="BD43" s="996"/>
      <c r="BE43" s="996">
        <v>1</v>
      </c>
    </row>
    <row r="44" spans="1:161" ht="36.75" customHeight="1">
      <c r="A44" s="699">
        <v>25</v>
      </c>
      <c r="B44" s="1001" t="s">
        <v>525</v>
      </c>
      <c r="C44" s="1022">
        <v>3738</v>
      </c>
      <c r="D44" s="1022">
        <v>0</v>
      </c>
      <c r="E44" s="1022">
        <v>0</v>
      </c>
      <c r="F44" s="1022">
        <v>0</v>
      </c>
      <c r="G44" s="1022">
        <v>3738</v>
      </c>
      <c r="H44" s="1022">
        <v>3738</v>
      </c>
      <c r="I44" s="1022">
        <v>0</v>
      </c>
      <c r="J44" s="1022">
        <v>265</v>
      </c>
      <c r="K44" s="1022">
        <v>0</v>
      </c>
      <c r="L44" s="1022"/>
      <c r="M44" s="1022"/>
      <c r="N44" s="1022">
        <v>265</v>
      </c>
      <c r="O44" s="1022">
        <v>265</v>
      </c>
      <c r="P44" s="1022"/>
      <c r="Q44" s="1022">
        <v>0</v>
      </c>
      <c r="R44" s="1022">
        <v>0</v>
      </c>
      <c r="S44" s="1022"/>
      <c r="T44" s="1022"/>
      <c r="U44" s="1022">
        <v>0</v>
      </c>
      <c r="V44" s="1022"/>
      <c r="W44" s="1022"/>
      <c r="X44" s="1022">
        <v>3473</v>
      </c>
      <c r="Y44" s="1022">
        <v>0</v>
      </c>
      <c r="Z44" s="1022"/>
      <c r="AA44" s="1022"/>
      <c r="AB44" s="1022">
        <v>3473</v>
      </c>
      <c r="AC44" s="1022">
        <v>3473</v>
      </c>
      <c r="AD44" s="1022"/>
      <c r="AE44" s="1022">
        <v>3343.835086</v>
      </c>
      <c r="AF44" s="1022">
        <v>0</v>
      </c>
      <c r="AG44" s="1022">
        <v>3343.835086</v>
      </c>
      <c r="AH44" s="1022">
        <v>257.04700000000003</v>
      </c>
      <c r="AI44" s="1022">
        <v>0</v>
      </c>
      <c r="AJ44" s="1022"/>
      <c r="AK44" s="1022"/>
      <c r="AL44" s="1022">
        <v>257.04700000000003</v>
      </c>
      <c r="AM44" s="1022">
        <v>257.04700000000003</v>
      </c>
      <c r="AN44" s="1022"/>
      <c r="AO44" s="1022">
        <v>0</v>
      </c>
      <c r="AP44" s="1022">
        <v>0</v>
      </c>
      <c r="AQ44" s="1022"/>
      <c r="AR44" s="1022"/>
      <c r="AS44" s="1022">
        <v>0</v>
      </c>
      <c r="AT44" s="1022"/>
      <c r="AU44" s="1023"/>
      <c r="AV44" s="1022">
        <v>3086.788086</v>
      </c>
      <c r="AW44" s="1022">
        <v>0</v>
      </c>
      <c r="AX44" s="1022"/>
      <c r="AY44" s="1022"/>
      <c r="AZ44" s="1022">
        <v>3086.788086</v>
      </c>
      <c r="BA44" s="1022">
        <v>3086.788086</v>
      </c>
      <c r="BB44" s="995"/>
      <c r="BC44" s="996">
        <v>0.89455192241840553</v>
      </c>
      <c r="BD44" s="996"/>
      <c r="BE44" s="996">
        <v>0.89455192241840553</v>
      </c>
    </row>
    <row r="45" spans="1:161" ht="36.75" customHeight="1">
      <c r="A45" s="699">
        <v>26</v>
      </c>
      <c r="B45" s="1001" t="s">
        <v>512</v>
      </c>
      <c r="C45" s="1022">
        <v>400</v>
      </c>
      <c r="D45" s="1022">
        <v>0</v>
      </c>
      <c r="E45" s="1022">
        <v>0</v>
      </c>
      <c r="F45" s="1022">
        <v>0</v>
      </c>
      <c r="G45" s="1022">
        <v>400</v>
      </c>
      <c r="H45" s="1022">
        <v>400</v>
      </c>
      <c r="I45" s="1022">
        <v>0</v>
      </c>
      <c r="J45" s="1022">
        <v>300</v>
      </c>
      <c r="K45" s="1022">
        <v>0</v>
      </c>
      <c r="L45" s="1022"/>
      <c r="M45" s="1022"/>
      <c r="N45" s="1022">
        <v>300</v>
      </c>
      <c r="O45" s="1022">
        <v>300</v>
      </c>
      <c r="P45" s="1022"/>
      <c r="Q45" s="1022">
        <v>50</v>
      </c>
      <c r="R45" s="1022">
        <v>0</v>
      </c>
      <c r="S45" s="1022"/>
      <c r="T45" s="1022"/>
      <c r="U45" s="1022">
        <v>50</v>
      </c>
      <c r="V45" s="1022">
        <v>50</v>
      </c>
      <c r="W45" s="1022"/>
      <c r="X45" s="1022">
        <v>50</v>
      </c>
      <c r="Y45" s="1022">
        <v>0</v>
      </c>
      <c r="Z45" s="1022"/>
      <c r="AA45" s="1022"/>
      <c r="AB45" s="1022">
        <v>50</v>
      </c>
      <c r="AC45" s="1022">
        <v>50</v>
      </c>
      <c r="AD45" s="1022"/>
      <c r="AE45" s="1022">
        <v>365.39499999999998</v>
      </c>
      <c r="AF45" s="1022">
        <v>0</v>
      </c>
      <c r="AG45" s="1022">
        <v>365.39499999999998</v>
      </c>
      <c r="AH45" s="1022">
        <v>265.39499999999998</v>
      </c>
      <c r="AI45" s="1022">
        <v>0</v>
      </c>
      <c r="AJ45" s="1022"/>
      <c r="AK45" s="1022"/>
      <c r="AL45" s="1022">
        <v>265.39499999999998</v>
      </c>
      <c r="AM45" s="1022">
        <v>265.39499999999998</v>
      </c>
      <c r="AN45" s="1022"/>
      <c r="AO45" s="1022">
        <v>50</v>
      </c>
      <c r="AP45" s="1022">
        <v>0</v>
      </c>
      <c r="AQ45" s="1022"/>
      <c r="AR45" s="1022"/>
      <c r="AS45" s="1022">
        <v>50</v>
      </c>
      <c r="AT45" s="1022">
        <v>50</v>
      </c>
      <c r="AU45" s="1023"/>
      <c r="AV45" s="1022">
        <v>50</v>
      </c>
      <c r="AW45" s="1022">
        <v>0</v>
      </c>
      <c r="AX45" s="1022"/>
      <c r="AY45" s="1022"/>
      <c r="AZ45" s="1022">
        <v>50</v>
      </c>
      <c r="BA45" s="1022">
        <v>50</v>
      </c>
      <c r="BB45" s="995"/>
      <c r="BC45" s="996">
        <v>0.91348750000000001</v>
      </c>
      <c r="BD45" s="996"/>
      <c r="BE45" s="996">
        <v>0.91348750000000001</v>
      </c>
    </row>
    <row r="46" spans="1:161" ht="36.75" customHeight="1">
      <c r="A46" s="699">
        <v>27</v>
      </c>
      <c r="B46" s="1001" t="s">
        <v>2197</v>
      </c>
      <c r="C46" s="1022">
        <v>200</v>
      </c>
      <c r="D46" s="1022">
        <v>0</v>
      </c>
      <c r="E46" s="1022">
        <v>0</v>
      </c>
      <c r="F46" s="1022">
        <v>0</v>
      </c>
      <c r="G46" s="1022">
        <v>200</v>
      </c>
      <c r="H46" s="1022">
        <v>200</v>
      </c>
      <c r="I46" s="1022">
        <v>0</v>
      </c>
      <c r="J46" s="1022">
        <v>0</v>
      </c>
      <c r="K46" s="1022">
        <v>0</v>
      </c>
      <c r="L46" s="1022"/>
      <c r="M46" s="1022"/>
      <c r="N46" s="1022">
        <v>0</v>
      </c>
      <c r="O46" s="1022"/>
      <c r="P46" s="1022"/>
      <c r="Q46" s="1022">
        <v>50</v>
      </c>
      <c r="R46" s="1022">
        <v>0</v>
      </c>
      <c r="S46" s="1022"/>
      <c r="T46" s="1022"/>
      <c r="U46" s="1022">
        <v>50</v>
      </c>
      <c r="V46" s="1022">
        <v>50</v>
      </c>
      <c r="W46" s="1022"/>
      <c r="X46" s="1022">
        <v>150</v>
      </c>
      <c r="Y46" s="1022">
        <v>0</v>
      </c>
      <c r="Z46" s="1022"/>
      <c r="AA46" s="1022"/>
      <c r="AB46" s="1022">
        <v>150</v>
      </c>
      <c r="AC46" s="1022">
        <v>150</v>
      </c>
      <c r="AD46" s="1022"/>
      <c r="AE46" s="1022">
        <v>196.5</v>
      </c>
      <c r="AF46" s="1022">
        <v>0</v>
      </c>
      <c r="AG46" s="1022">
        <v>196.5</v>
      </c>
      <c r="AH46" s="1022">
        <v>0</v>
      </c>
      <c r="AI46" s="1022">
        <v>0</v>
      </c>
      <c r="AJ46" s="1022"/>
      <c r="AK46" s="1022"/>
      <c r="AL46" s="1022">
        <v>0</v>
      </c>
      <c r="AM46" s="1022"/>
      <c r="AN46" s="1022"/>
      <c r="AO46" s="1022">
        <v>46.5</v>
      </c>
      <c r="AP46" s="1022">
        <v>0</v>
      </c>
      <c r="AQ46" s="1022"/>
      <c r="AR46" s="1022"/>
      <c r="AS46" s="1022">
        <v>46.5</v>
      </c>
      <c r="AT46" s="1022">
        <v>46.5</v>
      </c>
      <c r="AU46" s="1023"/>
      <c r="AV46" s="1022">
        <v>150</v>
      </c>
      <c r="AW46" s="1022">
        <v>0</v>
      </c>
      <c r="AX46" s="1022"/>
      <c r="AY46" s="1022"/>
      <c r="AZ46" s="1022">
        <v>150</v>
      </c>
      <c r="BA46" s="1022">
        <v>150</v>
      </c>
      <c r="BB46" s="995"/>
      <c r="BC46" s="996"/>
      <c r="BD46" s="996"/>
      <c r="BE46" s="996"/>
    </row>
    <row r="47" spans="1:161" ht="36.75" customHeight="1">
      <c r="A47" s="699">
        <v>28</v>
      </c>
      <c r="B47" s="1001" t="s">
        <v>2191</v>
      </c>
      <c r="C47" s="1022">
        <v>250</v>
      </c>
      <c r="D47" s="1022">
        <v>0</v>
      </c>
      <c r="E47" s="1022">
        <v>0</v>
      </c>
      <c r="F47" s="1022">
        <v>0</v>
      </c>
      <c r="G47" s="1022">
        <v>250</v>
      </c>
      <c r="H47" s="1022">
        <v>250</v>
      </c>
      <c r="I47" s="1022">
        <v>0</v>
      </c>
      <c r="J47" s="1022">
        <v>50</v>
      </c>
      <c r="K47" s="1022">
        <v>0</v>
      </c>
      <c r="L47" s="1022"/>
      <c r="M47" s="1022"/>
      <c r="N47" s="1022">
        <v>50</v>
      </c>
      <c r="O47" s="1022">
        <v>50</v>
      </c>
      <c r="P47" s="1022"/>
      <c r="Q47" s="1022">
        <v>200</v>
      </c>
      <c r="R47" s="1022">
        <v>0</v>
      </c>
      <c r="S47" s="1022"/>
      <c r="T47" s="1022"/>
      <c r="U47" s="1022">
        <v>200</v>
      </c>
      <c r="V47" s="1022">
        <v>200</v>
      </c>
      <c r="W47" s="1022"/>
      <c r="X47" s="1022">
        <v>0</v>
      </c>
      <c r="Y47" s="1022">
        <v>0</v>
      </c>
      <c r="Z47" s="1022"/>
      <c r="AA47" s="1022"/>
      <c r="AB47" s="1022">
        <v>0</v>
      </c>
      <c r="AC47" s="1022"/>
      <c r="AD47" s="1022"/>
      <c r="AE47" s="1022">
        <v>250</v>
      </c>
      <c r="AF47" s="1022">
        <v>0</v>
      </c>
      <c r="AG47" s="1022">
        <v>250</v>
      </c>
      <c r="AH47" s="1022">
        <v>50</v>
      </c>
      <c r="AI47" s="1022">
        <v>0</v>
      </c>
      <c r="AJ47" s="1022"/>
      <c r="AK47" s="1022"/>
      <c r="AL47" s="1022">
        <v>50</v>
      </c>
      <c r="AM47" s="1022">
        <v>50</v>
      </c>
      <c r="AN47" s="1022"/>
      <c r="AO47" s="1022">
        <v>200</v>
      </c>
      <c r="AP47" s="1022">
        <v>0</v>
      </c>
      <c r="AQ47" s="1022"/>
      <c r="AR47" s="1022"/>
      <c r="AS47" s="1022">
        <v>200</v>
      </c>
      <c r="AT47" s="1022">
        <v>200</v>
      </c>
      <c r="AU47" s="1023"/>
      <c r="AV47" s="1022">
        <v>0</v>
      </c>
      <c r="AW47" s="1022">
        <v>0</v>
      </c>
      <c r="AX47" s="1022"/>
      <c r="AY47" s="1022"/>
      <c r="AZ47" s="1022">
        <v>0</v>
      </c>
      <c r="BA47" s="1022"/>
      <c r="BB47" s="995"/>
      <c r="BC47" s="996">
        <v>1</v>
      </c>
      <c r="BD47" s="996"/>
      <c r="BE47" s="996">
        <v>1</v>
      </c>
    </row>
    <row r="48" spans="1:161" ht="36.75" customHeight="1">
      <c r="A48" s="699">
        <v>29</v>
      </c>
      <c r="B48" s="1001" t="s">
        <v>1417</v>
      </c>
      <c r="C48" s="1022">
        <v>4958</v>
      </c>
      <c r="D48" s="1022">
        <v>0</v>
      </c>
      <c r="E48" s="1022">
        <v>0</v>
      </c>
      <c r="F48" s="1022">
        <v>0</v>
      </c>
      <c r="G48" s="1022">
        <v>4958</v>
      </c>
      <c r="H48" s="1022">
        <v>4958</v>
      </c>
      <c r="I48" s="1022">
        <v>0</v>
      </c>
      <c r="J48" s="1022">
        <v>270</v>
      </c>
      <c r="K48" s="1022">
        <v>0</v>
      </c>
      <c r="L48" s="1022"/>
      <c r="M48" s="1022"/>
      <c r="N48" s="1022">
        <v>270</v>
      </c>
      <c r="O48" s="1022">
        <v>270</v>
      </c>
      <c r="P48" s="1022"/>
      <c r="Q48" s="1022">
        <v>150</v>
      </c>
      <c r="R48" s="1022">
        <v>0</v>
      </c>
      <c r="S48" s="1022"/>
      <c r="T48" s="1022"/>
      <c r="U48" s="1022">
        <v>150</v>
      </c>
      <c r="V48" s="1022">
        <v>150</v>
      </c>
      <c r="W48" s="1022"/>
      <c r="X48" s="1022">
        <v>4538</v>
      </c>
      <c r="Y48" s="1022">
        <v>0</v>
      </c>
      <c r="Z48" s="1022"/>
      <c r="AA48" s="1022"/>
      <c r="AB48" s="1022">
        <v>4538</v>
      </c>
      <c r="AC48" s="1022">
        <v>4538</v>
      </c>
      <c r="AD48" s="1022"/>
      <c r="AE48" s="1022">
        <v>4697.3577700000005</v>
      </c>
      <c r="AF48" s="1022">
        <v>0</v>
      </c>
      <c r="AG48" s="1022">
        <v>4697.3577700000005</v>
      </c>
      <c r="AH48" s="1022">
        <v>255.26499999999999</v>
      </c>
      <c r="AI48" s="1022">
        <v>0</v>
      </c>
      <c r="AJ48" s="1022"/>
      <c r="AK48" s="1022"/>
      <c r="AL48" s="1022">
        <v>255.26499999999999</v>
      </c>
      <c r="AM48" s="1022">
        <v>255.26499999999999</v>
      </c>
      <c r="AN48" s="1022"/>
      <c r="AO48" s="1022">
        <v>150</v>
      </c>
      <c r="AP48" s="1022">
        <v>0</v>
      </c>
      <c r="AQ48" s="1022"/>
      <c r="AR48" s="1022"/>
      <c r="AS48" s="1022">
        <v>150</v>
      </c>
      <c r="AT48" s="1022">
        <v>150</v>
      </c>
      <c r="AU48" s="1023"/>
      <c r="AV48" s="1022">
        <v>4292.0927700000002</v>
      </c>
      <c r="AW48" s="1022">
        <v>0</v>
      </c>
      <c r="AX48" s="1022"/>
      <c r="AY48" s="1022"/>
      <c r="AZ48" s="1022">
        <v>4292.0927700000002</v>
      </c>
      <c r="BA48" s="1022">
        <v>4292.0927700000002</v>
      </c>
      <c r="BB48" s="995"/>
      <c r="BC48" s="996">
        <v>0.94742996571198079</v>
      </c>
      <c r="BD48" s="996"/>
      <c r="BE48" s="996">
        <v>0.94742996571198079</v>
      </c>
    </row>
    <row r="49" spans="1:57" ht="36.75" customHeight="1">
      <c r="A49" s="699">
        <v>30</v>
      </c>
      <c r="B49" s="1001" t="s">
        <v>1960</v>
      </c>
      <c r="C49" s="1022">
        <v>280</v>
      </c>
      <c r="D49" s="1022">
        <v>0</v>
      </c>
      <c r="E49" s="1022">
        <v>0</v>
      </c>
      <c r="F49" s="1022">
        <v>0</v>
      </c>
      <c r="G49" s="1022">
        <v>280</v>
      </c>
      <c r="H49" s="1022">
        <v>280</v>
      </c>
      <c r="I49" s="1022">
        <v>0</v>
      </c>
      <c r="J49" s="1022">
        <v>130</v>
      </c>
      <c r="K49" s="1022">
        <v>0</v>
      </c>
      <c r="L49" s="1022"/>
      <c r="M49" s="1022"/>
      <c r="N49" s="1022">
        <v>130</v>
      </c>
      <c r="O49" s="1022">
        <v>130</v>
      </c>
      <c r="P49" s="1022"/>
      <c r="Q49" s="1022">
        <v>150</v>
      </c>
      <c r="R49" s="1022">
        <v>0</v>
      </c>
      <c r="S49" s="1022"/>
      <c r="T49" s="1022"/>
      <c r="U49" s="1022">
        <v>150</v>
      </c>
      <c r="V49" s="1022">
        <v>150</v>
      </c>
      <c r="W49" s="1022"/>
      <c r="X49" s="1022">
        <v>0</v>
      </c>
      <c r="Y49" s="1022">
        <v>0</v>
      </c>
      <c r="Z49" s="1022"/>
      <c r="AA49" s="1022"/>
      <c r="AB49" s="1022">
        <v>0</v>
      </c>
      <c r="AC49" s="1022"/>
      <c r="AD49" s="1022"/>
      <c r="AE49" s="1022">
        <v>278.11900000000003</v>
      </c>
      <c r="AF49" s="1022">
        <v>0</v>
      </c>
      <c r="AG49" s="1022">
        <v>278.11900000000003</v>
      </c>
      <c r="AH49" s="1022">
        <v>129.13900000000001</v>
      </c>
      <c r="AI49" s="1022">
        <v>0</v>
      </c>
      <c r="AJ49" s="1022"/>
      <c r="AK49" s="1022"/>
      <c r="AL49" s="1022">
        <v>129.13900000000001</v>
      </c>
      <c r="AM49" s="1022">
        <v>129.13900000000001</v>
      </c>
      <c r="AN49" s="1022"/>
      <c r="AO49" s="1022">
        <v>148.97999999999999</v>
      </c>
      <c r="AP49" s="1022">
        <v>0</v>
      </c>
      <c r="AQ49" s="1022"/>
      <c r="AR49" s="1022"/>
      <c r="AS49" s="1022">
        <v>148.97999999999999</v>
      </c>
      <c r="AT49" s="1022">
        <v>148.97999999999999</v>
      </c>
      <c r="AU49" s="1023"/>
      <c r="AV49" s="1022">
        <v>0</v>
      </c>
      <c r="AW49" s="1022">
        <v>0</v>
      </c>
      <c r="AX49" s="1022"/>
      <c r="AY49" s="1022"/>
      <c r="AZ49" s="1022">
        <v>0</v>
      </c>
      <c r="BA49" s="1022"/>
      <c r="BB49" s="995"/>
      <c r="BC49" s="996">
        <v>0.993282142857143</v>
      </c>
      <c r="BD49" s="996"/>
      <c r="BE49" s="996">
        <v>0.993282142857143</v>
      </c>
    </row>
    <row r="50" spans="1:57" ht="36.75" customHeight="1">
      <c r="A50" s="699">
        <v>31</v>
      </c>
      <c r="B50" s="1001" t="s">
        <v>2192</v>
      </c>
      <c r="C50" s="1022">
        <v>200</v>
      </c>
      <c r="D50" s="1022">
        <v>0</v>
      </c>
      <c r="E50" s="1022">
        <v>0</v>
      </c>
      <c r="F50" s="1022">
        <v>0</v>
      </c>
      <c r="G50" s="1022">
        <v>200</v>
      </c>
      <c r="H50" s="1022">
        <v>200</v>
      </c>
      <c r="I50" s="1022">
        <v>0</v>
      </c>
      <c r="J50" s="1022">
        <v>200</v>
      </c>
      <c r="K50" s="1022">
        <v>0</v>
      </c>
      <c r="L50" s="1022"/>
      <c r="M50" s="1022"/>
      <c r="N50" s="1022">
        <v>200</v>
      </c>
      <c r="O50" s="1022">
        <v>200</v>
      </c>
      <c r="P50" s="1022"/>
      <c r="Q50" s="1022">
        <v>0</v>
      </c>
      <c r="R50" s="1022">
        <v>0</v>
      </c>
      <c r="S50" s="1022"/>
      <c r="T50" s="1022"/>
      <c r="U50" s="1022">
        <v>0</v>
      </c>
      <c r="V50" s="1022"/>
      <c r="W50" s="1022"/>
      <c r="X50" s="1022">
        <v>0</v>
      </c>
      <c r="Y50" s="1022">
        <v>0</v>
      </c>
      <c r="Z50" s="1022"/>
      <c r="AA50" s="1022"/>
      <c r="AB50" s="1022">
        <v>0</v>
      </c>
      <c r="AC50" s="1022"/>
      <c r="AD50" s="1022"/>
      <c r="AE50" s="1022">
        <v>200</v>
      </c>
      <c r="AF50" s="1022">
        <v>0</v>
      </c>
      <c r="AG50" s="1022">
        <v>200</v>
      </c>
      <c r="AH50" s="1022">
        <v>200</v>
      </c>
      <c r="AI50" s="1022">
        <v>0</v>
      </c>
      <c r="AJ50" s="1022"/>
      <c r="AK50" s="1022"/>
      <c r="AL50" s="1022">
        <v>200</v>
      </c>
      <c r="AM50" s="1022">
        <v>200</v>
      </c>
      <c r="AN50" s="1022"/>
      <c r="AO50" s="1022">
        <v>0</v>
      </c>
      <c r="AP50" s="1022">
        <v>0</v>
      </c>
      <c r="AQ50" s="1022"/>
      <c r="AR50" s="1022"/>
      <c r="AS50" s="1022">
        <v>0</v>
      </c>
      <c r="AT50" s="1022"/>
      <c r="AU50" s="1023"/>
      <c r="AV50" s="1022">
        <v>0</v>
      </c>
      <c r="AW50" s="1022">
        <v>0</v>
      </c>
      <c r="AX50" s="1022"/>
      <c r="AY50" s="1022"/>
      <c r="AZ50" s="1022">
        <v>0</v>
      </c>
      <c r="BA50" s="1022"/>
      <c r="BB50" s="995"/>
      <c r="BC50" s="996">
        <v>1</v>
      </c>
      <c r="BD50" s="996"/>
      <c r="BE50" s="996">
        <v>1</v>
      </c>
    </row>
    <row r="51" spans="1:57" ht="43.5" customHeight="1">
      <c r="A51" s="699">
        <v>32</v>
      </c>
      <c r="B51" s="1001" t="s">
        <v>2196</v>
      </c>
      <c r="C51" s="1022">
        <v>265</v>
      </c>
      <c r="D51" s="1022">
        <v>0</v>
      </c>
      <c r="E51" s="1022">
        <v>0</v>
      </c>
      <c r="F51" s="1022">
        <v>0</v>
      </c>
      <c r="G51" s="1022">
        <v>265</v>
      </c>
      <c r="H51" s="1022">
        <v>265</v>
      </c>
      <c r="I51" s="1022">
        <v>0</v>
      </c>
      <c r="J51" s="1022">
        <v>0</v>
      </c>
      <c r="K51" s="1022">
        <v>0</v>
      </c>
      <c r="L51" s="1022"/>
      <c r="M51" s="1022"/>
      <c r="N51" s="1022">
        <v>0</v>
      </c>
      <c r="O51" s="1022"/>
      <c r="P51" s="1022"/>
      <c r="Q51" s="1022">
        <v>100</v>
      </c>
      <c r="R51" s="1022">
        <v>0</v>
      </c>
      <c r="S51" s="1022"/>
      <c r="T51" s="1022"/>
      <c r="U51" s="1022">
        <v>100</v>
      </c>
      <c r="V51" s="1022">
        <v>100</v>
      </c>
      <c r="W51" s="1022"/>
      <c r="X51" s="1022">
        <v>165</v>
      </c>
      <c r="Y51" s="1022">
        <v>0</v>
      </c>
      <c r="Z51" s="1022"/>
      <c r="AA51" s="1022"/>
      <c r="AB51" s="1022">
        <v>165</v>
      </c>
      <c r="AC51" s="1022">
        <v>165</v>
      </c>
      <c r="AD51" s="1022"/>
      <c r="AE51" s="1022">
        <v>1100.3322000000001</v>
      </c>
      <c r="AF51" s="1022">
        <v>0</v>
      </c>
      <c r="AG51" s="1022">
        <v>1100.3322000000001</v>
      </c>
      <c r="AH51" s="1022">
        <v>0</v>
      </c>
      <c r="AI51" s="1022">
        <v>0</v>
      </c>
      <c r="AJ51" s="1022"/>
      <c r="AK51" s="1022"/>
      <c r="AL51" s="1022">
        <v>0</v>
      </c>
      <c r="AM51" s="1022"/>
      <c r="AN51" s="1022"/>
      <c r="AO51" s="1022">
        <v>95.73</v>
      </c>
      <c r="AP51" s="1022">
        <v>0</v>
      </c>
      <c r="AQ51" s="1022"/>
      <c r="AR51" s="1022"/>
      <c r="AS51" s="1022">
        <v>95.73</v>
      </c>
      <c r="AT51" s="1022">
        <v>95.73</v>
      </c>
      <c r="AU51" s="1023"/>
      <c r="AV51" s="1022">
        <v>1004.6022</v>
      </c>
      <c r="AW51" s="1022">
        <v>0</v>
      </c>
      <c r="AX51" s="1022"/>
      <c r="AY51" s="1022"/>
      <c r="AZ51" s="1022">
        <v>1004.6022</v>
      </c>
      <c r="BA51" s="1022">
        <v>1004.6022</v>
      </c>
      <c r="BB51" s="995"/>
      <c r="BC51" s="996">
        <v>4.152196981132076</v>
      </c>
      <c r="BD51" s="996"/>
      <c r="BE51" s="996">
        <v>4.152196981132076</v>
      </c>
    </row>
    <row r="52" spans="1:57" ht="45" customHeight="1">
      <c r="A52" s="699">
        <v>33</v>
      </c>
      <c r="B52" s="1001" t="s">
        <v>1687</v>
      </c>
      <c r="C52" s="1022">
        <v>1500</v>
      </c>
      <c r="D52" s="1022">
        <v>0</v>
      </c>
      <c r="E52" s="1022">
        <v>0</v>
      </c>
      <c r="F52" s="1022">
        <v>0</v>
      </c>
      <c r="G52" s="1022">
        <v>1500</v>
      </c>
      <c r="H52" s="1022">
        <v>1500</v>
      </c>
      <c r="I52" s="1022">
        <v>0</v>
      </c>
      <c r="J52" s="1022">
        <v>0</v>
      </c>
      <c r="K52" s="1022">
        <v>0</v>
      </c>
      <c r="L52" s="1022"/>
      <c r="M52" s="1022"/>
      <c r="N52" s="1022">
        <v>0</v>
      </c>
      <c r="O52" s="1022"/>
      <c r="P52" s="1022"/>
      <c r="Q52" s="1022">
        <v>100</v>
      </c>
      <c r="R52" s="1022">
        <v>0</v>
      </c>
      <c r="S52" s="1022"/>
      <c r="T52" s="1022"/>
      <c r="U52" s="1022">
        <v>100</v>
      </c>
      <c r="V52" s="1022">
        <v>100</v>
      </c>
      <c r="W52" s="1022"/>
      <c r="X52" s="1022">
        <v>1400</v>
      </c>
      <c r="Y52" s="1022">
        <v>0</v>
      </c>
      <c r="Z52" s="1022"/>
      <c r="AA52" s="1022"/>
      <c r="AB52" s="1022">
        <v>1400</v>
      </c>
      <c r="AC52" s="1022">
        <v>1400</v>
      </c>
      <c r="AD52" s="1022"/>
      <c r="AE52" s="1022">
        <v>281.88300000000004</v>
      </c>
      <c r="AF52" s="1022">
        <v>0</v>
      </c>
      <c r="AG52" s="1022">
        <v>281.88300000000004</v>
      </c>
      <c r="AH52" s="1022">
        <v>0</v>
      </c>
      <c r="AI52" s="1022">
        <v>0</v>
      </c>
      <c r="AJ52" s="1022"/>
      <c r="AK52" s="1022"/>
      <c r="AL52" s="1022">
        <v>0</v>
      </c>
      <c r="AM52" s="1022"/>
      <c r="AN52" s="1022"/>
      <c r="AO52" s="1022">
        <v>117.68</v>
      </c>
      <c r="AP52" s="1022">
        <v>0</v>
      </c>
      <c r="AQ52" s="1022"/>
      <c r="AR52" s="1022"/>
      <c r="AS52" s="1022">
        <v>117.68</v>
      </c>
      <c r="AT52" s="1022">
        <v>117.68</v>
      </c>
      <c r="AU52" s="1023"/>
      <c r="AV52" s="1022">
        <v>164.203</v>
      </c>
      <c r="AW52" s="1022">
        <v>0</v>
      </c>
      <c r="AX52" s="1022"/>
      <c r="AY52" s="1022"/>
      <c r="AZ52" s="1022">
        <v>164.203</v>
      </c>
      <c r="BA52" s="1022">
        <v>164.203</v>
      </c>
      <c r="BB52" s="995"/>
      <c r="BC52" s="996">
        <v>0.18792200000000003</v>
      </c>
      <c r="BD52" s="996"/>
      <c r="BE52" s="996">
        <v>0.18792200000000003</v>
      </c>
    </row>
    <row r="53" spans="1:57" ht="36.75" customHeight="1">
      <c r="A53" s="699">
        <v>34</v>
      </c>
      <c r="B53" s="1001" t="s">
        <v>2198</v>
      </c>
      <c r="C53" s="1022">
        <v>890</v>
      </c>
      <c r="D53" s="1022">
        <v>0</v>
      </c>
      <c r="E53" s="1022">
        <v>0</v>
      </c>
      <c r="F53" s="1022">
        <v>0</v>
      </c>
      <c r="G53" s="1022">
        <v>890</v>
      </c>
      <c r="H53" s="1022">
        <v>890</v>
      </c>
      <c r="I53" s="1022">
        <v>0</v>
      </c>
      <c r="J53" s="1022">
        <v>0</v>
      </c>
      <c r="K53" s="1022">
        <v>0</v>
      </c>
      <c r="L53" s="1022"/>
      <c r="M53" s="1022"/>
      <c r="N53" s="1022">
        <v>0</v>
      </c>
      <c r="O53" s="1022"/>
      <c r="P53" s="1022"/>
      <c r="Q53" s="1022">
        <v>0</v>
      </c>
      <c r="R53" s="1022">
        <v>0</v>
      </c>
      <c r="S53" s="1022"/>
      <c r="T53" s="1022"/>
      <c r="U53" s="1022">
        <v>0</v>
      </c>
      <c r="V53" s="1022"/>
      <c r="W53" s="1022"/>
      <c r="X53" s="1022">
        <v>890</v>
      </c>
      <c r="Y53" s="1022">
        <v>0</v>
      </c>
      <c r="Z53" s="1022"/>
      <c r="AA53" s="1022"/>
      <c r="AB53" s="1022">
        <v>890</v>
      </c>
      <c r="AC53" s="1022">
        <v>890</v>
      </c>
      <c r="AD53" s="1022"/>
      <c r="AE53" s="1022">
        <v>522.36799999999994</v>
      </c>
      <c r="AF53" s="1022">
        <v>0</v>
      </c>
      <c r="AG53" s="1022">
        <v>522.36799999999994</v>
      </c>
      <c r="AH53" s="1022">
        <v>0</v>
      </c>
      <c r="AI53" s="1022">
        <v>0</v>
      </c>
      <c r="AJ53" s="1022"/>
      <c r="AK53" s="1022"/>
      <c r="AL53" s="1022">
        <v>0</v>
      </c>
      <c r="AM53" s="1022"/>
      <c r="AN53" s="1022"/>
      <c r="AO53" s="1022">
        <v>0</v>
      </c>
      <c r="AP53" s="1022">
        <v>0</v>
      </c>
      <c r="AQ53" s="1022"/>
      <c r="AR53" s="1022"/>
      <c r="AS53" s="1022">
        <v>0</v>
      </c>
      <c r="AT53" s="1022"/>
      <c r="AU53" s="1023"/>
      <c r="AV53" s="1022">
        <v>522.36799999999994</v>
      </c>
      <c r="AW53" s="1022">
        <v>0</v>
      </c>
      <c r="AX53" s="1022"/>
      <c r="AY53" s="1022"/>
      <c r="AZ53" s="1022">
        <v>522.36799999999994</v>
      </c>
      <c r="BA53" s="1022">
        <v>522.36799999999994</v>
      </c>
      <c r="BB53" s="995"/>
      <c r="BC53" s="996">
        <v>0.58693033707865161</v>
      </c>
      <c r="BD53" s="996"/>
      <c r="BE53" s="996">
        <v>0.58693033707865161</v>
      </c>
    </row>
    <row r="54" spans="1:57" ht="36.75" customHeight="1">
      <c r="A54" s="699">
        <v>35</v>
      </c>
      <c r="B54" s="1001" t="s">
        <v>2671</v>
      </c>
      <c r="C54" s="1022">
        <v>450</v>
      </c>
      <c r="D54" s="1022">
        <v>0</v>
      </c>
      <c r="E54" s="1022">
        <v>0</v>
      </c>
      <c r="F54" s="1022">
        <v>0</v>
      </c>
      <c r="G54" s="1022">
        <v>450</v>
      </c>
      <c r="H54" s="1022">
        <v>450</v>
      </c>
      <c r="I54" s="1022">
        <v>0</v>
      </c>
      <c r="J54" s="1022"/>
      <c r="K54" s="1022"/>
      <c r="L54" s="1022"/>
      <c r="M54" s="1022"/>
      <c r="N54" s="1022"/>
      <c r="O54" s="1022"/>
      <c r="P54" s="1022"/>
      <c r="Q54" s="1022"/>
      <c r="R54" s="1022"/>
      <c r="S54" s="1022"/>
      <c r="T54" s="1022"/>
      <c r="U54" s="1022"/>
      <c r="V54" s="1022"/>
      <c r="W54" s="1022"/>
      <c r="X54" s="1022"/>
      <c r="Y54" s="1022"/>
      <c r="Z54" s="1022"/>
      <c r="AA54" s="1022"/>
      <c r="AB54" s="1022">
        <v>450</v>
      </c>
      <c r="AC54" s="1022">
        <v>450</v>
      </c>
      <c r="AD54" s="1022"/>
      <c r="AE54" s="1022">
        <v>733.44304999999997</v>
      </c>
      <c r="AF54" s="1022">
        <v>0</v>
      </c>
      <c r="AG54" s="1022">
        <v>733.44304999999997</v>
      </c>
      <c r="AH54" s="1022">
        <v>0</v>
      </c>
      <c r="AI54" s="1022">
        <v>0</v>
      </c>
      <c r="AJ54" s="1022"/>
      <c r="AK54" s="1022"/>
      <c r="AL54" s="1022">
        <v>0</v>
      </c>
      <c r="AM54" s="1022"/>
      <c r="AN54" s="1022"/>
      <c r="AO54" s="1022">
        <v>0</v>
      </c>
      <c r="AP54" s="1022">
        <v>0</v>
      </c>
      <c r="AQ54" s="1022"/>
      <c r="AR54" s="1022"/>
      <c r="AS54" s="1022">
        <v>0</v>
      </c>
      <c r="AT54" s="1022"/>
      <c r="AU54" s="1023"/>
      <c r="AV54" s="1022">
        <v>733.44304999999997</v>
      </c>
      <c r="AW54" s="1022">
        <v>0</v>
      </c>
      <c r="AX54" s="1022"/>
      <c r="AY54" s="1022"/>
      <c r="AZ54" s="1022">
        <v>733.44304999999997</v>
      </c>
      <c r="BA54" s="1022">
        <v>733.44304999999997</v>
      </c>
      <c r="BB54" s="995"/>
      <c r="BC54" s="996">
        <v>1.6298734444444445</v>
      </c>
      <c r="BD54" s="996"/>
      <c r="BE54" s="996"/>
    </row>
    <row r="55" spans="1:57" ht="36.75" customHeight="1">
      <c r="A55" s="699">
        <v>36</v>
      </c>
      <c r="B55" s="1001" t="s">
        <v>1552</v>
      </c>
      <c r="C55" s="1022">
        <v>330</v>
      </c>
      <c r="D55" s="1022">
        <v>0</v>
      </c>
      <c r="E55" s="1022">
        <v>0</v>
      </c>
      <c r="F55" s="1022">
        <v>0</v>
      </c>
      <c r="G55" s="1022">
        <v>330</v>
      </c>
      <c r="H55" s="1022">
        <v>330</v>
      </c>
      <c r="I55" s="1022">
        <v>0</v>
      </c>
      <c r="J55" s="1022">
        <v>230</v>
      </c>
      <c r="K55" s="1022">
        <v>0</v>
      </c>
      <c r="L55" s="1022"/>
      <c r="M55" s="1022"/>
      <c r="N55" s="1022">
        <v>230</v>
      </c>
      <c r="O55" s="1022">
        <v>230</v>
      </c>
      <c r="P55" s="1022"/>
      <c r="Q55" s="1022">
        <v>100</v>
      </c>
      <c r="R55" s="1022">
        <v>0</v>
      </c>
      <c r="S55" s="1022"/>
      <c r="T55" s="1022"/>
      <c r="U55" s="1022">
        <v>100</v>
      </c>
      <c r="V55" s="1022">
        <v>100</v>
      </c>
      <c r="W55" s="1022"/>
      <c r="X55" s="1022">
        <v>0</v>
      </c>
      <c r="Y55" s="1022">
        <v>0</v>
      </c>
      <c r="Z55" s="1022"/>
      <c r="AA55" s="1022"/>
      <c r="AB55" s="1022">
        <v>0</v>
      </c>
      <c r="AC55" s="1022"/>
      <c r="AD55" s="1022"/>
      <c r="AE55" s="1022">
        <v>330</v>
      </c>
      <c r="AF55" s="1022">
        <v>0</v>
      </c>
      <c r="AG55" s="1022">
        <v>330</v>
      </c>
      <c r="AH55" s="1022">
        <v>230</v>
      </c>
      <c r="AI55" s="1022">
        <v>0</v>
      </c>
      <c r="AJ55" s="1022"/>
      <c r="AK55" s="1022"/>
      <c r="AL55" s="1022">
        <v>230</v>
      </c>
      <c r="AM55" s="1022">
        <v>230</v>
      </c>
      <c r="AN55" s="1022"/>
      <c r="AO55" s="1022">
        <v>100</v>
      </c>
      <c r="AP55" s="1022">
        <v>0</v>
      </c>
      <c r="AQ55" s="1022"/>
      <c r="AR55" s="1022"/>
      <c r="AS55" s="1022">
        <v>100</v>
      </c>
      <c r="AT55" s="1022">
        <v>100</v>
      </c>
      <c r="AU55" s="1023"/>
      <c r="AV55" s="1022">
        <v>0</v>
      </c>
      <c r="AW55" s="1022">
        <v>0</v>
      </c>
      <c r="AX55" s="1022"/>
      <c r="AY55" s="1022"/>
      <c r="AZ55" s="1022">
        <v>0</v>
      </c>
      <c r="BA55" s="1022"/>
      <c r="BB55" s="995"/>
      <c r="BC55" s="996">
        <v>1</v>
      </c>
      <c r="BD55" s="996"/>
      <c r="BE55" s="996">
        <v>1</v>
      </c>
    </row>
    <row r="56" spans="1:57" ht="36.75" customHeight="1">
      <c r="A56" s="699">
        <v>37</v>
      </c>
      <c r="B56" s="1001" t="s">
        <v>1597</v>
      </c>
      <c r="C56" s="1022">
        <v>80</v>
      </c>
      <c r="D56" s="1022">
        <v>0</v>
      </c>
      <c r="E56" s="1022">
        <v>0</v>
      </c>
      <c r="F56" s="1022">
        <v>0</v>
      </c>
      <c r="G56" s="1022">
        <v>80</v>
      </c>
      <c r="H56" s="1022">
        <v>80</v>
      </c>
      <c r="I56" s="1022">
        <v>0</v>
      </c>
      <c r="J56" s="1022">
        <v>0</v>
      </c>
      <c r="K56" s="1022">
        <v>0</v>
      </c>
      <c r="L56" s="1022"/>
      <c r="M56" s="1022"/>
      <c r="N56" s="1022">
        <v>0</v>
      </c>
      <c r="O56" s="1022"/>
      <c r="P56" s="1022"/>
      <c r="Q56" s="1022">
        <v>80</v>
      </c>
      <c r="R56" s="1022">
        <v>0</v>
      </c>
      <c r="S56" s="1022"/>
      <c r="T56" s="1022"/>
      <c r="U56" s="1022">
        <v>80</v>
      </c>
      <c r="V56" s="1022">
        <v>80</v>
      </c>
      <c r="W56" s="1022"/>
      <c r="X56" s="1022">
        <v>0</v>
      </c>
      <c r="Y56" s="1022">
        <v>0</v>
      </c>
      <c r="Z56" s="1022"/>
      <c r="AA56" s="1022"/>
      <c r="AB56" s="1022">
        <v>0</v>
      </c>
      <c r="AC56" s="1022"/>
      <c r="AD56" s="1022"/>
      <c r="AE56" s="1022">
        <v>80</v>
      </c>
      <c r="AF56" s="1022">
        <v>0</v>
      </c>
      <c r="AG56" s="1022">
        <v>80</v>
      </c>
      <c r="AH56" s="1022">
        <v>0</v>
      </c>
      <c r="AI56" s="1022">
        <v>0</v>
      </c>
      <c r="AJ56" s="1022"/>
      <c r="AK56" s="1022"/>
      <c r="AL56" s="1022">
        <v>0</v>
      </c>
      <c r="AM56" s="1022"/>
      <c r="AN56" s="1022"/>
      <c r="AO56" s="1022">
        <v>80</v>
      </c>
      <c r="AP56" s="1022">
        <v>0</v>
      </c>
      <c r="AQ56" s="1022"/>
      <c r="AR56" s="1022"/>
      <c r="AS56" s="1022">
        <v>80</v>
      </c>
      <c r="AT56" s="1022">
        <v>80</v>
      </c>
      <c r="AU56" s="1023"/>
      <c r="AV56" s="1022">
        <v>0</v>
      </c>
      <c r="AW56" s="1022">
        <v>0</v>
      </c>
      <c r="AX56" s="1022"/>
      <c r="AY56" s="1022"/>
      <c r="AZ56" s="1022">
        <v>0</v>
      </c>
      <c r="BA56" s="1022"/>
      <c r="BB56" s="995"/>
      <c r="BC56" s="996">
        <v>1</v>
      </c>
      <c r="BD56" s="996"/>
      <c r="BE56" s="996">
        <v>1</v>
      </c>
    </row>
    <row r="57" spans="1:57" ht="36.75" customHeight="1">
      <c r="A57" s="699">
        <v>38</v>
      </c>
      <c r="B57" s="1001" t="s">
        <v>288</v>
      </c>
      <c r="C57" s="1022">
        <v>4309</v>
      </c>
      <c r="D57" s="1022">
        <v>0</v>
      </c>
      <c r="E57" s="1022">
        <v>0</v>
      </c>
      <c r="F57" s="1022">
        <v>0</v>
      </c>
      <c r="G57" s="1022">
        <v>4309</v>
      </c>
      <c r="H57" s="1022">
        <v>4309</v>
      </c>
      <c r="I57" s="1022">
        <v>0</v>
      </c>
      <c r="J57" s="1022">
        <v>0</v>
      </c>
      <c r="K57" s="1022">
        <v>0</v>
      </c>
      <c r="L57" s="1022"/>
      <c r="M57" s="1022"/>
      <c r="N57" s="1022">
        <v>0</v>
      </c>
      <c r="O57" s="1022"/>
      <c r="P57" s="1022"/>
      <c r="Q57" s="1022">
        <v>0</v>
      </c>
      <c r="R57" s="1022">
        <v>0</v>
      </c>
      <c r="S57" s="1022"/>
      <c r="T57" s="1022"/>
      <c r="U57" s="1022">
        <v>0</v>
      </c>
      <c r="V57" s="1022"/>
      <c r="W57" s="1022"/>
      <c r="X57" s="1022">
        <v>4309</v>
      </c>
      <c r="Y57" s="1022">
        <v>0</v>
      </c>
      <c r="Z57" s="1022"/>
      <c r="AA57" s="1022"/>
      <c r="AB57" s="1022">
        <v>4309</v>
      </c>
      <c r="AC57" s="1022">
        <v>4309</v>
      </c>
      <c r="AD57" s="1022"/>
      <c r="AE57" s="1022">
        <v>3710.6180000000004</v>
      </c>
      <c r="AF57" s="1022">
        <v>0</v>
      </c>
      <c r="AG57" s="1022">
        <v>3710.6180000000004</v>
      </c>
      <c r="AH57" s="1022">
        <v>0</v>
      </c>
      <c r="AI57" s="1022">
        <v>0</v>
      </c>
      <c r="AJ57" s="1022"/>
      <c r="AK57" s="1022"/>
      <c r="AL57" s="1022">
        <v>0</v>
      </c>
      <c r="AM57" s="1022"/>
      <c r="AN57" s="1022"/>
      <c r="AO57" s="1022">
        <v>0</v>
      </c>
      <c r="AP57" s="1022">
        <v>0</v>
      </c>
      <c r="AQ57" s="1022"/>
      <c r="AR57" s="1022"/>
      <c r="AS57" s="1022">
        <v>0</v>
      </c>
      <c r="AT57" s="1022"/>
      <c r="AU57" s="1023"/>
      <c r="AV57" s="1022">
        <v>3710.6180000000004</v>
      </c>
      <c r="AW57" s="1022">
        <v>0</v>
      </c>
      <c r="AX57" s="1022"/>
      <c r="AY57" s="1022"/>
      <c r="AZ57" s="1022">
        <v>3710.6180000000004</v>
      </c>
      <c r="BA57" s="1022">
        <v>3710.6180000000004</v>
      </c>
      <c r="BB57" s="995"/>
      <c r="BC57" s="996">
        <v>0.86113204919935027</v>
      </c>
      <c r="BD57" s="996"/>
      <c r="BE57" s="996">
        <v>0.86113204919935027</v>
      </c>
    </row>
    <row r="58" spans="1:57" ht="36.75" customHeight="1">
      <c r="A58" s="699">
        <v>39</v>
      </c>
      <c r="B58" s="1001" t="s">
        <v>2199</v>
      </c>
      <c r="C58" s="1022">
        <v>3185</v>
      </c>
      <c r="D58" s="1022">
        <v>0</v>
      </c>
      <c r="E58" s="1022">
        <v>0</v>
      </c>
      <c r="F58" s="1022">
        <v>0</v>
      </c>
      <c r="G58" s="1022">
        <v>3185</v>
      </c>
      <c r="H58" s="1022">
        <v>3185</v>
      </c>
      <c r="I58" s="1022">
        <v>0</v>
      </c>
      <c r="J58" s="1022">
        <v>0</v>
      </c>
      <c r="K58" s="1022">
        <v>0</v>
      </c>
      <c r="L58" s="1022"/>
      <c r="M58" s="1022"/>
      <c r="N58" s="1022">
        <v>0</v>
      </c>
      <c r="O58" s="1022"/>
      <c r="P58" s="1022"/>
      <c r="Q58" s="1022">
        <v>0</v>
      </c>
      <c r="R58" s="1022">
        <v>0</v>
      </c>
      <c r="S58" s="1022"/>
      <c r="T58" s="1022"/>
      <c r="U58" s="1022">
        <v>0</v>
      </c>
      <c r="V58" s="1022"/>
      <c r="W58" s="1022"/>
      <c r="X58" s="1022">
        <v>3185</v>
      </c>
      <c r="Y58" s="1022">
        <v>0</v>
      </c>
      <c r="Z58" s="1022"/>
      <c r="AA58" s="1022"/>
      <c r="AB58" s="1022">
        <v>3185</v>
      </c>
      <c r="AC58" s="1022">
        <v>3185</v>
      </c>
      <c r="AD58" s="1022"/>
      <c r="AE58" s="1022">
        <v>20.736000000000001</v>
      </c>
      <c r="AF58" s="1022">
        <v>0</v>
      </c>
      <c r="AG58" s="1022">
        <v>20.736000000000001</v>
      </c>
      <c r="AH58" s="1022">
        <v>0</v>
      </c>
      <c r="AI58" s="1022">
        <v>0</v>
      </c>
      <c r="AJ58" s="1022"/>
      <c r="AK58" s="1022"/>
      <c r="AL58" s="1022">
        <v>0</v>
      </c>
      <c r="AM58" s="1022"/>
      <c r="AN58" s="1022"/>
      <c r="AO58" s="1022">
        <v>0</v>
      </c>
      <c r="AP58" s="1022">
        <v>0</v>
      </c>
      <c r="AQ58" s="1022"/>
      <c r="AR58" s="1022"/>
      <c r="AS58" s="1022">
        <v>0</v>
      </c>
      <c r="AT58" s="1022"/>
      <c r="AU58" s="1023"/>
      <c r="AV58" s="1022">
        <v>20.736000000000001</v>
      </c>
      <c r="AW58" s="1022">
        <v>0</v>
      </c>
      <c r="AX58" s="1022"/>
      <c r="AY58" s="1022"/>
      <c r="AZ58" s="1022">
        <v>20.736000000000001</v>
      </c>
      <c r="BA58" s="1022">
        <v>20.736000000000001</v>
      </c>
      <c r="BB58" s="995"/>
      <c r="BC58" s="996">
        <v>6.5105180533751965E-3</v>
      </c>
      <c r="BD58" s="996"/>
      <c r="BE58" s="996">
        <v>6.5105180533751965E-3</v>
      </c>
    </row>
    <row r="59" spans="1:57" ht="43.5" customHeight="1">
      <c r="A59" s="699">
        <v>40</v>
      </c>
      <c r="B59" s="1001" t="s">
        <v>2200</v>
      </c>
      <c r="C59" s="1022">
        <v>3738</v>
      </c>
      <c r="D59" s="1022">
        <v>0</v>
      </c>
      <c r="E59" s="1022">
        <v>0</v>
      </c>
      <c r="F59" s="1022">
        <v>0</v>
      </c>
      <c r="G59" s="1022">
        <v>3738</v>
      </c>
      <c r="H59" s="1022">
        <v>3738</v>
      </c>
      <c r="I59" s="1022">
        <v>0</v>
      </c>
      <c r="J59" s="1022">
        <v>0</v>
      </c>
      <c r="K59" s="1022">
        <v>0</v>
      </c>
      <c r="L59" s="1022"/>
      <c r="M59" s="1022"/>
      <c r="N59" s="1022">
        <v>0</v>
      </c>
      <c r="O59" s="1022"/>
      <c r="P59" s="1022"/>
      <c r="Q59" s="1022">
        <v>0</v>
      </c>
      <c r="R59" s="1022">
        <v>0</v>
      </c>
      <c r="S59" s="1022"/>
      <c r="T59" s="1022"/>
      <c r="U59" s="1022">
        <v>0</v>
      </c>
      <c r="V59" s="1022"/>
      <c r="W59" s="1022"/>
      <c r="X59" s="1022">
        <v>3738</v>
      </c>
      <c r="Y59" s="1022">
        <v>0</v>
      </c>
      <c r="Z59" s="1022"/>
      <c r="AA59" s="1022"/>
      <c r="AB59" s="1022">
        <v>3738</v>
      </c>
      <c r="AC59" s="1022">
        <v>3738</v>
      </c>
      <c r="AD59" s="1022"/>
      <c r="AE59" s="1022">
        <v>3738.3199999999997</v>
      </c>
      <c r="AF59" s="1022">
        <v>0</v>
      </c>
      <c r="AG59" s="1022">
        <v>3738.3199999999997</v>
      </c>
      <c r="AH59" s="1022">
        <v>0</v>
      </c>
      <c r="AI59" s="1022">
        <v>0</v>
      </c>
      <c r="AJ59" s="1022"/>
      <c r="AK59" s="1022"/>
      <c r="AL59" s="1022">
        <v>0</v>
      </c>
      <c r="AM59" s="1022"/>
      <c r="AN59" s="1022"/>
      <c r="AO59" s="1022">
        <v>0</v>
      </c>
      <c r="AP59" s="1022">
        <v>0</v>
      </c>
      <c r="AQ59" s="1022"/>
      <c r="AR59" s="1022"/>
      <c r="AS59" s="1022">
        <v>0</v>
      </c>
      <c r="AT59" s="1022"/>
      <c r="AU59" s="1023"/>
      <c r="AV59" s="1022">
        <v>3738.3199999999997</v>
      </c>
      <c r="AW59" s="1022">
        <v>0</v>
      </c>
      <c r="AX59" s="1022"/>
      <c r="AY59" s="1022"/>
      <c r="AZ59" s="1022">
        <v>3738.3199999999997</v>
      </c>
      <c r="BA59" s="1022">
        <v>3738.3199999999997</v>
      </c>
      <c r="BB59" s="995"/>
      <c r="BC59" s="996">
        <v>1.0000856072766184</v>
      </c>
      <c r="BD59" s="996"/>
      <c r="BE59" s="996">
        <v>1.0000856072766184</v>
      </c>
    </row>
    <row r="60" spans="1:57" ht="55.5" customHeight="1">
      <c r="A60" s="699">
        <v>41</v>
      </c>
      <c r="B60" s="1001" t="s">
        <v>2201</v>
      </c>
      <c r="C60" s="1022">
        <v>3439</v>
      </c>
      <c r="D60" s="1022">
        <v>0</v>
      </c>
      <c r="E60" s="1022">
        <v>0</v>
      </c>
      <c r="F60" s="1022">
        <v>0</v>
      </c>
      <c r="G60" s="1022">
        <v>3439</v>
      </c>
      <c r="H60" s="1022">
        <v>3439</v>
      </c>
      <c r="I60" s="1022">
        <v>0</v>
      </c>
      <c r="J60" s="1022">
        <v>0</v>
      </c>
      <c r="K60" s="1022">
        <v>0</v>
      </c>
      <c r="L60" s="1022"/>
      <c r="M60" s="1022"/>
      <c r="N60" s="1022">
        <v>0</v>
      </c>
      <c r="O60" s="1022"/>
      <c r="P60" s="1022"/>
      <c r="Q60" s="1022">
        <v>0</v>
      </c>
      <c r="R60" s="1022">
        <v>0</v>
      </c>
      <c r="S60" s="1022"/>
      <c r="T60" s="1022"/>
      <c r="U60" s="1022">
        <v>0</v>
      </c>
      <c r="V60" s="1022"/>
      <c r="W60" s="1022"/>
      <c r="X60" s="1022">
        <v>3439</v>
      </c>
      <c r="Y60" s="1022">
        <v>0</v>
      </c>
      <c r="Z60" s="1022"/>
      <c r="AA60" s="1022"/>
      <c r="AB60" s="1022">
        <v>3439</v>
      </c>
      <c r="AC60" s="1022">
        <v>3439</v>
      </c>
      <c r="AD60" s="1022"/>
      <c r="AE60" s="1022">
        <v>3439</v>
      </c>
      <c r="AF60" s="1022">
        <v>0</v>
      </c>
      <c r="AG60" s="1022">
        <v>3439</v>
      </c>
      <c r="AH60" s="1022">
        <v>0</v>
      </c>
      <c r="AI60" s="1022">
        <v>0</v>
      </c>
      <c r="AJ60" s="1022"/>
      <c r="AK60" s="1022"/>
      <c r="AL60" s="1022">
        <v>0</v>
      </c>
      <c r="AM60" s="1022"/>
      <c r="AN60" s="1022"/>
      <c r="AO60" s="1022">
        <v>0</v>
      </c>
      <c r="AP60" s="1022">
        <v>0</v>
      </c>
      <c r="AQ60" s="1022"/>
      <c r="AR60" s="1022"/>
      <c r="AS60" s="1022">
        <v>0</v>
      </c>
      <c r="AT60" s="1022"/>
      <c r="AU60" s="1023"/>
      <c r="AV60" s="1022">
        <v>3439</v>
      </c>
      <c r="AW60" s="1022">
        <v>0</v>
      </c>
      <c r="AX60" s="1022"/>
      <c r="AY60" s="1022"/>
      <c r="AZ60" s="1022">
        <v>3439</v>
      </c>
      <c r="BA60" s="1022">
        <v>3439</v>
      </c>
      <c r="BB60" s="995"/>
      <c r="BC60" s="996">
        <v>1</v>
      </c>
      <c r="BD60" s="996"/>
      <c r="BE60" s="996">
        <v>1</v>
      </c>
    </row>
    <row r="61" spans="1:57" ht="48" customHeight="1">
      <c r="A61" s="699">
        <v>42</v>
      </c>
      <c r="B61" s="1001" t="s">
        <v>2202</v>
      </c>
      <c r="C61" s="1022">
        <v>7491</v>
      </c>
      <c r="D61" s="1022">
        <v>0</v>
      </c>
      <c r="E61" s="1022">
        <v>0</v>
      </c>
      <c r="F61" s="1022">
        <v>0</v>
      </c>
      <c r="G61" s="1022">
        <v>7491</v>
      </c>
      <c r="H61" s="1022">
        <v>7491</v>
      </c>
      <c r="I61" s="1022">
        <v>0</v>
      </c>
      <c r="J61" s="1022">
        <v>0</v>
      </c>
      <c r="K61" s="1022">
        <v>0</v>
      </c>
      <c r="L61" s="1022"/>
      <c r="M61" s="1022"/>
      <c r="N61" s="1022">
        <v>0</v>
      </c>
      <c r="O61" s="1022"/>
      <c r="P61" s="1022"/>
      <c r="Q61" s="1022">
        <v>0</v>
      </c>
      <c r="R61" s="1022">
        <v>0</v>
      </c>
      <c r="S61" s="1022"/>
      <c r="T61" s="1022"/>
      <c r="U61" s="1022">
        <v>0</v>
      </c>
      <c r="V61" s="1022"/>
      <c r="W61" s="1022"/>
      <c r="X61" s="1022">
        <v>7491</v>
      </c>
      <c r="Y61" s="1022">
        <v>0</v>
      </c>
      <c r="Z61" s="1022"/>
      <c r="AA61" s="1022"/>
      <c r="AB61" s="1022">
        <v>7491</v>
      </c>
      <c r="AC61" s="1022">
        <v>7491</v>
      </c>
      <c r="AD61" s="1022"/>
      <c r="AE61" s="1022">
        <v>7491</v>
      </c>
      <c r="AF61" s="1022">
        <v>0</v>
      </c>
      <c r="AG61" s="1022">
        <v>7491</v>
      </c>
      <c r="AH61" s="1022">
        <v>0</v>
      </c>
      <c r="AI61" s="1022">
        <v>0</v>
      </c>
      <c r="AJ61" s="1022"/>
      <c r="AK61" s="1022"/>
      <c r="AL61" s="1022">
        <v>0</v>
      </c>
      <c r="AM61" s="1022"/>
      <c r="AN61" s="1022"/>
      <c r="AO61" s="1022">
        <v>0</v>
      </c>
      <c r="AP61" s="1022">
        <v>0</v>
      </c>
      <c r="AQ61" s="1022"/>
      <c r="AR61" s="1022"/>
      <c r="AS61" s="1022">
        <v>0</v>
      </c>
      <c r="AT61" s="1022"/>
      <c r="AU61" s="1023"/>
      <c r="AV61" s="1022">
        <v>7491</v>
      </c>
      <c r="AW61" s="1022">
        <v>0</v>
      </c>
      <c r="AX61" s="1022"/>
      <c r="AY61" s="1022"/>
      <c r="AZ61" s="1022">
        <v>7491</v>
      </c>
      <c r="BA61" s="1022">
        <v>7491</v>
      </c>
      <c r="BB61" s="995"/>
      <c r="BC61" s="996">
        <v>1</v>
      </c>
      <c r="BD61" s="996"/>
      <c r="BE61" s="996">
        <v>1</v>
      </c>
    </row>
    <row r="62" spans="1:57" ht="36.75" customHeight="1">
      <c r="A62" s="699">
        <v>43</v>
      </c>
      <c r="B62" s="1001" t="s">
        <v>2203</v>
      </c>
      <c r="C62" s="1022">
        <v>6703</v>
      </c>
      <c r="D62" s="1022">
        <v>0</v>
      </c>
      <c r="E62" s="1022">
        <v>0</v>
      </c>
      <c r="F62" s="1022">
        <v>0</v>
      </c>
      <c r="G62" s="1022">
        <v>6703</v>
      </c>
      <c r="H62" s="1022">
        <v>6703</v>
      </c>
      <c r="I62" s="1022">
        <v>0</v>
      </c>
      <c r="J62" s="1022">
        <v>0</v>
      </c>
      <c r="K62" s="1022">
        <v>0</v>
      </c>
      <c r="L62" s="1022"/>
      <c r="M62" s="1022"/>
      <c r="N62" s="1022">
        <v>0</v>
      </c>
      <c r="O62" s="1022"/>
      <c r="P62" s="1022"/>
      <c r="Q62" s="1022">
        <v>0</v>
      </c>
      <c r="R62" s="1022">
        <v>0</v>
      </c>
      <c r="S62" s="1022"/>
      <c r="T62" s="1022"/>
      <c r="U62" s="1022">
        <v>0</v>
      </c>
      <c r="V62" s="1022"/>
      <c r="W62" s="1022"/>
      <c r="X62" s="1022">
        <v>6703</v>
      </c>
      <c r="Y62" s="1022">
        <v>0</v>
      </c>
      <c r="Z62" s="1022"/>
      <c r="AA62" s="1022"/>
      <c r="AB62" s="1022">
        <v>6703</v>
      </c>
      <c r="AC62" s="1022">
        <v>6703</v>
      </c>
      <c r="AD62" s="1022"/>
      <c r="AE62" s="1022">
        <v>6003.05</v>
      </c>
      <c r="AF62" s="1022">
        <v>0</v>
      </c>
      <c r="AG62" s="1022">
        <v>6003.05</v>
      </c>
      <c r="AH62" s="1022">
        <v>0</v>
      </c>
      <c r="AI62" s="1022">
        <v>0</v>
      </c>
      <c r="AJ62" s="1022"/>
      <c r="AK62" s="1022"/>
      <c r="AL62" s="1022">
        <v>0</v>
      </c>
      <c r="AM62" s="1022"/>
      <c r="AN62" s="1022"/>
      <c r="AO62" s="1022">
        <v>0</v>
      </c>
      <c r="AP62" s="1022">
        <v>0</v>
      </c>
      <c r="AQ62" s="1022"/>
      <c r="AR62" s="1022"/>
      <c r="AS62" s="1022">
        <v>0</v>
      </c>
      <c r="AT62" s="1022"/>
      <c r="AU62" s="1023"/>
      <c r="AV62" s="1022">
        <v>6003.05</v>
      </c>
      <c r="AW62" s="1022">
        <v>0</v>
      </c>
      <c r="AX62" s="1022"/>
      <c r="AY62" s="1022"/>
      <c r="AZ62" s="1022">
        <v>6003.05</v>
      </c>
      <c r="BA62" s="1022">
        <v>6003.05</v>
      </c>
      <c r="BB62" s="995"/>
      <c r="BC62" s="996">
        <v>0.895576607489184</v>
      </c>
      <c r="BD62" s="996"/>
      <c r="BE62" s="996">
        <v>0.895576607489184</v>
      </c>
    </row>
    <row r="63" spans="1:57" ht="36.75" customHeight="1">
      <c r="A63" s="699">
        <v>44</v>
      </c>
      <c r="B63" s="1001" t="s">
        <v>2672</v>
      </c>
      <c r="C63" s="1022">
        <v>2326</v>
      </c>
      <c r="D63" s="1022">
        <v>0</v>
      </c>
      <c r="E63" s="1022">
        <v>0</v>
      </c>
      <c r="F63" s="1022">
        <v>0</v>
      </c>
      <c r="G63" s="1022">
        <v>2326</v>
      </c>
      <c r="H63" s="1022">
        <v>2326</v>
      </c>
      <c r="I63" s="1022">
        <v>0</v>
      </c>
      <c r="J63" s="1022">
        <v>0</v>
      </c>
      <c r="K63" s="1022">
        <v>0</v>
      </c>
      <c r="L63" s="1022"/>
      <c r="M63" s="1022"/>
      <c r="N63" s="1022">
        <v>0</v>
      </c>
      <c r="O63" s="1022"/>
      <c r="P63" s="1022"/>
      <c r="Q63" s="1022">
        <v>0</v>
      </c>
      <c r="R63" s="1022">
        <v>0</v>
      </c>
      <c r="S63" s="1022"/>
      <c r="T63" s="1022"/>
      <c r="U63" s="1022">
        <v>0</v>
      </c>
      <c r="V63" s="1022"/>
      <c r="W63" s="1022"/>
      <c r="X63" s="1022">
        <v>2326</v>
      </c>
      <c r="Y63" s="1022">
        <v>0</v>
      </c>
      <c r="Z63" s="1022"/>
      <c r="AA63" s="1022"/>
      <c r="AB63" s="1022">
        <v>2326</v>
      </c>
      <c r="AC63" s="1022">
        <v>2326</v>
      </c>
      <c r="AD63" s="1022"/>
      <c r="AE63" s="1022">
        <v>2316</v>
      </c>
      <c r="AF63" s="1022">
        <v>0</v>
      </c>
      <c r="AG63" s="1022">
        <v>2316</v>
      </c>
      <c r="AH63" s="1022">
        <v>0</v>
      </c>
      <c r="AI63" s="1022">
        <v>0</v>
      </c>
      <c r="AJ63" s="1022"/>
      <c r="AK63" s="1022"/>
      <c r="AL63" s="1022">
        <v>0</v>
      </c>
      <c r="AM63" s="1022"/>
      <c r="AN63" s="1022"/>
      <c r="AO63" s="1022">
        <v>0</v>
      </c>
      <c r="AP63" s="1022">
        <v>0</v>
      </c>
      <c r="AQ63" s="1022"/>
      <c r="AR63" s="1022"/>
      <c r="AS63" s="1022">
        <v>0</v>
      </c>
      <c r="AT63" s="1022"/>
      <c r="AU63" s="1023"/>
      <c r="AV63" s="1022">
        <v>2316</v>
      </c>
      <c r="AW63" s="1022">
        <v>0</v>
      </c>
      <c r="AX63" s="1022"/>
      <c r="AY63" s="1022"/>
      <c r="AZ63" s="1022">
        <v>2316</v>
      </c>
      <c r="BA63" s="1022">
        <v>2316</v>
      </c>
      <c r="BB63" s="995"/>
      <c r="BC63" s="996">
        <v>0.9957007738607051</v>
      </c>
      <c r="BD63" s="996"/>
      <c r="BE63" s="996">
        <v>0.9957007738607051</v>
      </c>
    </row>
    <row r="64" spans="1:57" ht="58.5">
      <c r="A64" s="699">
        <v>45</v>
      </c>
      <c r="B64" s="1002" t="s">
        <v>2459</v>
      </c>
      <c r="C64" s="1022">
        <v>499.5</v>
      </c>
      <c r="D64" s="1022">
        <v>499.5</v>
      </c>
      <c r="E64" s="1022">
        <v>499.5</v>
      </c>
      <c r="F64" s="1022">
        <v>0</v>
      </c>
      <c r="G64" s="1022">
        <v>0</v>
      </c>
      <c r="H64" s="1022">
        <v>0</v>
      </c>
      <c r="I64" s="1022">
        <v>0</v>
      </c>
      <c r="J64" s="1022">
        <v>0</v>
      </c>
      <c r="K64" s="1022">
        <v>0</v>
      </c>
      <c r="L64" s="1022"/>
      <c r="M64" s="1022"/>
      <c r="N64" s="1022">
        <v>0</v>
      </c>
      <c r="O64" s="1022"/>
      <c r="P64" s="1022"/>
      <c r="Q64" s="1022">
        <v>499.5</v>
      </c>
      <c r="R64" s="1022">
        <v>499.5</v>
      </c>
      <c r="S64" s="1022">
        <v>499.5</v>
      </c>
      <c r="T64" s="1022"/>
      <c r="U64" s="1022">
        <v>0</v>
      </c>
      <c r="V64" s="1022"/>
      <c r="W64" s="1022"/>
      <c r="X64" s="1022">
        <v>0</v>
      </c>
      <c r="Y64" s="1022">
        <v>0</v>
      </c>
      <c r="Z64" s="1022"/>
      <c r="AA64" s="1022"/>
      <c r="AB64" s="1022">
        <v>0</v>
      </c>
      <c r="AC64" s="1022"/>
      <c r="AD64" s="1022"/>
      <c r="AE64" s="1022">
        <v>498.45</v>
      </c>
      <c r="AF64" s="1022">
        <v>498.45</v>
      </c>
      <c r="AG64" s="1022">
        <v>0</v>
      </c>
      <c r="AH64" s="1022">
        <v>0</v>
      </c>
      <c r="AI64" s="1022">
        <v>0</v>
      </c>
      <c r="AJ64" s="1022"/>
      <c r="AK64" s="1022"/>
      <c r="AL64" s="1022">
        <v>0</v>
      </c>
      <c r="AM64" s="1022"/>
      <c r="AN64" s="1022"/>
      <c r="AO64" s="1022">
        <v>498.45</v>
      </c>
      <c r="AP64" s="1022">
        <v>498.45</v>
      </c>
      <c r="AQ64" s="1022">
        <v>498.45</v>
      </c>
      <c r="AR64" s="1022"/>
      <c r="AS64" s="1022">
        <v>0</v>
      </c>
      <c r="AT64" s="1022"/>
      <c r="AU64" s="1023"/>
      <c r="AV64" s="1022">
        <v>0</v>
      </c>
      <c r="AW64" s="1022">
        <v>0</v>
      </c>
      <c r="AX64" s="1022"/>
      <c r="AY64" s="1022"/>
      <c r="AZ64" s="1022">
        <v>0</v>
      </c>
      <c r="BA64" s="1022"/>
      <c r="BB64" s="995"/>
      <c r="BC64" s="996"/>
      <c r="BD64" s="996"/>
      <c r="BE64" s="996"/>
    </row>
    <row r="65" spans="1:161" ht="136.5">
      <c r="A65" s="699">
        <v>46</v>
      </c>
      <c r="B65" s="1002" t="s">
        <v>2460</v>
      </c>
      <c r="C65" s="1022">
        <v>380</v>
      </c>
      <c r="D65" s="1022">
        <v>380</v>
      </c>
      <c r="E65" s="1022">
        <v>380</v>
      </c>
      <c r="F65" s="1022">
        <v>0</v>
      </c>
      <c r="G65" s="1022">
        <v>0</v>
      </c>
      <c r="H65" s="1022">
        <v>0</v>
      </c>
      <c r="I65" s="1022">
        <v>0</v>
      </c>
      <c r="J65" s="1022">
        <v>0</v>
      </c>
      <c r="K65" s="1022">
        <v>0</v>
      </c>
      <c r="L65" s="1022"/>
      <c r="M65" s="1022"/>
      <c r="N65" s="1022">
        <v>0</v>
      </c>
      <c r="O65" s="1022"/>
      <c r="P65" s="1022"/>
      <c r="Q65" s="1022">
        <v>380</v>
      </c>
      <c r="R65" s="1022">
        <v>380</v>
      </c>
      <c r="S65" s="1022">
        <v>380</v>
      </c>
      <c r="T65" s="1022"/>
      <c r="U65" s="1022">
        <v>0</v>
      </c>
      <c r="V65" s="1022"/>
      <c r="W65" s="1022"/>
      <c r="X65" s="1022">
        <v>0</v>
      </c>
      <c r="Y65" s="1022">
        <v>0</v>
      </c>
      <c r="Z65" s="1022"/>
      <c r="AA65" s="1022"/>
      <c r="AB65" s="1022">
        <v>0</v>
      </c>
      <c r="AC65" s="1022"/>
      <c r="AD65" s="1022"/>
      <c r="AE65" s="1022">
        <v>374.89699999999999</v>
      </c>
      <c r="AF65" s="1022">
        <v>374.89699999999999</v>
      </c>
      <c r="AG65" s="1022">
        <v>0</v>
      </c>
      <c r="AH65" s="1022">
        <v>0</v>
      </c>
      <c r="AI65" s="1022">
        <v>0</v>
      </c>
      <c r="AJ65" s="1022"/>
      <c r="AK65" s="1022"/>
      <c r="AL65" s="1022">
        <v>0</v>
      </c>
      <c r="AM65" s="1022"/>
      <c r="AN65" s="1022"/>
      <c r="AO65" s="1022">
        <v>374.89699999999999</v>
      </c>
      <c r="AP65" s="1022">
        <v>374.89699999999999</v>
      </c>
      <c r="AQ65" s="1022">
        <v>374.89699999999999</v>
      </c>
      <c r="AR65" s="1022"/>
      <c r="AS65" s="1022">
        <v>0</v>
      </c>
      <c r="AT65" s="1022"/>
      <c r="AU65" s="1023"/>
      <c r="AV65" s="1022">
        <v>0</v>
      </c>
      <c r="AW65" s="1022">
        <v>0</v>
      </c>
      <c r="AX65" s="1022"/>
      <c r="AY65" s="1022"/>
      <c r="AZ65" s="1022">
        <v>0</v>
      </c>
      <c r="BA65" s="1022"/>
      <c r="BB65" s="995"/>
      <c r="BC65" s="996"/>
      <c r="BD65" s="996"/>
      <c r="BE65" s="996"/>
    </row>
    <row r="66" spans="1:161" ht="97.5">
      <c r="A66" s="699">
        <v>47</v>
      </c>
      <c r="B66" s="1002" t="s">
        <v>2461</v>
      </c>
      <c r="C66" s="1022">
        <v>120</v>
      </c>
      <c r="D66" s="1022">
        <v>120</v>
      </c>
      <c r="E66" s="1022">
        <v>120</v>
      </c>
      <c r="F66" s="1022">
        <v>0</v>
      </c>
      <c r="G66" s="1022">
        <v>0</v>
      </c>
      <c r="H66" s="1022">
        <v>0</v>
      </c>
      <c r="I66" s="1022">
        <v>0</v>
      </c>
      <c r="J66" s="1022">
        <v>0</v>
      </c>
      <c r="K66" s="1022">
        <v>0</v>
      </c>
      <c r="L66" s="1022"/>
      <c r="M66" s="1022"/>
      <c r="N66" s="1022">
        <v>0</v>
      </c>
      <c r="O66" s="1022"/>
      <c r="P66" s="1022"/>
      <c r="Q66" s="1022">
        <v>120</v>
      </c>
      <c r="R66" s="1022">
        <v>120</v>
      </c>
      <c r="S66" s="1022">
        <v>120</v>
      </c>
      <c r="T66" s="1022"/>
      <c r="U66" s="1022">
        <v>0</v>
      </c>
      <c r="V66" s="1022"/>
      <c r="W66" s="1022"/>
      <c r="X66" s="1022">
        <v>0</v>
      </c>
      <c r="Y66" s="1022">
        <v>0</v>
      </c>
      <c r="Z66" s="1022"/>
      <c r="AA66" s="1022"/>
      <c r="AB66" s="1022">
        <v>0</v>
      </c>
      <c r="AC66" s="1022"/>
      <c r="AD66" s="1022"/>
      <c r="AE66" s="1022">
        <v>120</v>
      </c>
      <c r="AF66" s="1022">
        <v>120</v>
      </c>
      <c r="AG66" s="1022">
        <v>0</v>
      </c>
      <c r="AH66" s="1022">
        <v>0</v>
      </c>
      <c r="AI66" s="1022">
        <v>0</v>
      </c>
      <c r="AJ66" s="1022"/>
      <c r="AK66" s="1022"/>
      <c r="AL66" s="1022">
        <v>0</v>
      </c>
      <c r="AM66" s="1022"/>
      <c r="AN66" s="1022"/>
      <c r="AO66" s="1022">
        <v>120</v>
      </c>
      <c r="AP66" s="1022">
        <v>120</v>
      </c>
      <c r="AQ66" s="1022">
        <v>120</v>
      </c>
      <c r="AR66" s="1022"/>
      <c r="AS66" s="1022">
        <v>0</v>
      </c>
      <c r="AT66" s="1022"/>
      <c r="AU66" s="1023"/>
      <c r="AV66" s="1022">
        <v>0</v>
      </c>
      <c r="AW66" s="1022">
        <v>0</v>
      </c>
      <c r="AX66" s="1022"/>
      <c r="AY66" s="1022"/>
      <c r="AZ66" s="1022">
        <v>0</v>
      </c>
      <c r="BA66" s="1022"/>
      <c r="BB66" s="995"/>
      <c r="BC66" s="996"/>
      <c r="BD66" s="996"/>
      <c r="BE66" s="996"/>
    </row>
    <row r="67" spans="1:161" ht="36.75" customHeight="1">
      <c r="A67" s="699">
        <v>48</v>
      </c>
      <c r="B67" s="1001" t="s">
        <v>2674</v>
      </c>
      <c r="C67" s="1022">
        <v>1000.5</v>
      </c>
      <c r="D67" s="1022">
        <v>1000.5</v>
      </c>
      <c r="E67" s="1022">
        <v>500</v>
      </c>
      <c r="F67" s="1022">
        <v>500.5</v>
      </c>
      <c r="G67" s="1022">
        <v>0</v>
      </c>
      <c r="H67" s="1022">
        <v>0</v>
      </c>
      <c r="I67" s="1022">
        <v>0</v>
      </c>
      <c r="J67" s="1022">
        <v>0</v>
      </c>
      <c r="K67" s="1022">
        <v>0</v>
      </c>
      <c r="L67" s="1022"/>
      <c r="M67" s="1022"/>
      <c r="N67" s="1022">
        <v>0</v>
      </c>
      <c r="O67" s="1022"/>
      <c r="P67" s="1022"/>
      <c r="Q67" s="1022">
        <v>1000.5</v>
      </c>
      <c r="R67" s="1022">
        <v>1000.5</v>
      </c>
      <c r="S67" s="1022">
        <v>500</v>
      </c>
      <c r="T67" s="1022">
        <v>500.5</v>
      </c>
      <c r="U67" s="1022">
        <v>0</v>
      </c>
      <c r="V67" s="1022"/>
      <c r="W67" s="1022"/>
      <c r="X67" s="1022">
        <v>0</v>
      </c>
      <c r="Y67" s="1022">
        <v>0</v>
      </c>
      <c r="Z67" s="1022"/>
      <c r="AA67" s="1022"/>
      <c r="AB67" s="1022">
        <v>0</v>
      </c>
      <c r="AC67" s="1022"/>
      <c r="AD67" s="1022"/>
      <c r="AE67" s="1022">
        <v>0</v>
      </c>
      <c r="AF67" s="1022">
        <v>0</v>
      </c>
      <c r="AG67" s="1022">
        <v>0</v>
      </c>
      <c r="AH67" s="1022">
        <v>0</v>
      </c>
      <c r="AI67" s="1022">
        <v>0</v>
      </c>
      <c r="AJ67" s="1022"/>
      <c r="AK67" s="1022"/>
      <c r="AL67" s="1022">
        <v>0</v>
      </c>
      <c r="AM67" s="1022"/>
      <c r="AN67" s="1022"/>
      <c r="AO67" s="1022">
        <v>0</v>
      </c>
      <c r="AP67" s="1022">
        <v>0</v>
      </c>
      <c r="AQ67" s="1022"/>
      <c r="AR67" s="1022"/>
      <c r="AS67" s="1022">
        <v>0</v>
      </c>
      <c r="AT67" s="1022"/>
      <c r="AU67" s="1023"/>
      <c r="AV67" s="1022">
        <v>0</v>
      </c>
      <c r="AW67" s="1022">
        <v>0</v>
      </c>
      <c r="AX67" s="1022"/>
      <c r="AY67" s="1022"/>
      <c r="AZ67" s="1022">
        <v>0</v>
      </c>
      <c r="BA67" s="1022"/>
      <c r="BB67" s="995"/>
      <c r="BC67" s="996"/>
      <c r="BD67" s="996"/>
      <c r="BE67" s="996"/>
    </row>
    <row r="68" spans="1:161" ht="36.75" hidden="1" customHeight="1">
      <c r="A68" s="699">
        <v>49</v>
      </c>
      <c r="B68" s="1001" t="s">
        <v>2195</v>
      </c>
      <c r="C68" s="1022">
        <v>0</v>
      </c>
      <c r="D68" s="1022">
        <v>0</v>
      </c>
      <c r="E68" s="1022">
        <v>0</v>
      </c>
      <c r="F68" s="1022">
        <v>0</v>
      </c>
      <c r="G68" s="1022">
        <v>0</v>
      </c>
      <c r="H68" s="1022">
        <v>0</v>
      </c>
      <c r="I68" s="1022">
        <v>0</v>
      </c>
      <c r="J68" s="1022">
        <v>0</v>
      </c>
      <c r="K68" s="1022">
        <v>0</v>
      </c>
      <c r="L68" s="1022"/>
      <c r="M68" s="1022"/>
      <c r="N68" s="1022">
        <v>0</v>
      </c>
      <c r="O68" s="1022"/>
      <c r="P68" s="1022"/>
      <c r="Q68" s="1022">
        <v>0</v>
      </c>
      <c r="R68" s="1022">
        <v>0</v>
      </c>
      <c r="S68" s="1022"/>
      <c r="T68" s="1022"/>
      <c r="U68" s="1022">
        <v>0</v>
      </c>
      <c r="V68" s="1022"/>
      <c r="W68" s="1022"/>
      <c r="X68" s="1022">
        <v>0</v>
      </c>
      <c r="Y68" s="1022">
        <v>0</v>
      </c>
      <c r="Z68" s="1022"/>
      <c r="AA68" s="1022"/>
      <c r="AB68" s="1022">
        <v>0</v>
      </c>
      <c r="AC68" s="1022"/>
      <c r="AD68" s="1022"/>
      <c r="AE68" s="1022">
        <v>0</v>
      </c>
      <c r="AF68" s="1022">
        <v>0</v>
      </c>
      <c r="AG68" s="1022">
        <v>0</v>
      </c>
      <c r="AH68" s="1022">
        <v>0</v>
      </c>
      <c r="AI68" s="1022">
        <v>0</v>
      </c>
      <c r="AJ68" s="1022"/>
      <c r="AK68" s="1022"/>
      <c r="AL68" s="1022">
        <v>0</v>
      </c>
      <c r="AM68" s="1022"/>
      <c r="AN68" s="1022"/>
      <c r="AO68" s="1022">
        <v>0</v>
      </c>
      <c r="AP68" s="1022">
        <v>0</v>
      </c>
      <c r="AQ68" s="1022"/>
      <c r="AR68" s="1022"/>
      <c r="AS68" s="1022">
        <v>0</v>
      </c>
      <c r="AT68" s="1022"/>
      <c r="AU68" s="1023"/>
      <c r="AV68" s="1022">
        <v>0</v>
      </c>
      <c r="AW68" s="1022">
        <v>0</v>
      </c>
      <c r="AX68" s="1022"/>
      <c r="AY68" s="1022"/>
      <c r="AZ68" s="1022">
        <v>0</v>
      </c>
      <c r="BA68" s="1022"/>
      <c r="BB68" s="995"/>
      <c r="BC68" s="996" t="e">
        <v>#DIV/0!</v>
      </c>
      <c r="BD68" s="996"/>
      <c r="BE68" s="996" t="e">
        <v>#DIV/0!</v>
      </c>
    </row>
    <row r="69" spans="1:161" ht="36.75" customHeight="1">
      <c r="A69" s="698" t="s">
        <v>19</v>
      </c>
      <c r="B69" s="1000" t="s">
        <v>235</v>
      </c>
      <c r="C69" s="1021">
        <v>727106.5</v>
      </c>
      <c r="D69" s="1021">
        <v>429960.5</v>
      </c>
      <c r="E69" s="1021">
        <v>360461</v>
      </c>
      <c r="F69" s="1021">
        <v>69499.5</v>
      </c>
      <c r="G69" s="1021">
        <v>297146</v>
      </c>
      <c r="H69" s="1021">
        <v>297146</v>
      </c>
      <c r="I69" s="1021">
        <v>0</v>
      </c>
      <c r="J69" s="1021">
        <v>202645</v>
      </c>
      <c r="K69" s="1021">
        <v>76378</v>
      </c>
      <c r="L69" s="1021">
        <v>76378</v>
      </c>
      <c r="M69" s="1021">
        <v>0</v>
      </c>
      <c r="N69" s="1021">
        <v>126267</v>
      </c>
      <c r="O69" s="1021">
        <v>126267</v>
      </c>
      <c r="P69" s="1021">
        <v>0</v>
      </c>
      <c r="Q69" s="1021">
        <v>182156.5</v>
      </c>
      <c r="R69" s="1021">
        <v>163359.5</v>
      </c>
      <c r="S69" s="1021">
        <v>93860</v>
      </c>
      <c r="T69" s="1021">
        <v>69499.5</v>
      </c>
      <c r="U69" s="1021">
        <v>18797</v>
      </c>
      <c r="V69" s="1021">
        <v>18797</v>
      </c>
      <c r="W69" s="1021">
        <v>0</v>
      </c>
      <c r="X69" s="1021">
        <v>342305</v>
      </c>
      <c r="Y69" s="1021">
        <v>190223</v>
      </c>
      <c r="Z69" s="1021">
        <v>190223</v>
      </c>
      <c r="AA69" s="1021">
        <v>0</v>
      </c>
      <c r="AB69" s="1021">
        <v>152082</v>
      </c>
      <c r="AC69" s="1021">
        <v>152082</v>
      </c>
      <c r="AD69" s="1021">
        <v>0</v>
      </c>
      <c r="AE69" s="1021">
        <v>784897.6753</v>
      </c>
      <c r="AF69" s="1021">
        <v>657827.06115800003</v>
      </c>
      <c r="AG69" s="1021">
        <v>127070.61414200001</v>
      </c>
      <c r="AH69" s="1021">
        <v>235361.81534600002</v>
      </c>
      <c r="AI69" s="1021">
        <v>170639.33521400002</v>
      </c>
      <c r="AJ69" s="1021">
        <v>170639.33521400002</v>
      </c>
      <c r="AK69" s="1021">
        <v>0</v>
      </c>
      <c r="AL69" s="1021">
        <v>64722.480132000004</v>
      </c>
      <c r="AM69" s="1021">
        <v>64722.480132000004</v>
      </c>
      <c r="AN69" s="1021">
        <v>0</v>
      </c>
      <c r="AO69" s="1021">
        <v>245407.65758600002</v>
      </c>
      <c r="AP69" s="1021">
        <v>233601.63364499999</v>
      </c>
      <c r="AQ69" s="1021">
        <v>154692.566445</v>
      </c>
      <c r="AR69" s="1021">
        <v>78909.06719999999</v>
      </c>
      <c r="AS69" s="1021">
        <v>11806.023940999999</v>
      </c>
      <c r="AT69" s="1021">
        <v>11806.023940999999</v>
      </c>
      <c r="AU69" s="1021">
        <v>0</v>
      </c>
      <c r="AV69" s="1021">
        <v>304128.202368</v>
      </c>
      <c r="AW69" s="1021">
        <v>253586.09229900001</v>
      </c>
      <c r="AX69" s="1021">
        <v>253586.09229900001</v>
      </c>
      <c r="AY69" s="1021">
        <v>0</v>
      </c>
      <c r="AZ69" s="1021">
        <v>50542.110068999995</v>
      </c>
      <c r="BA69" s="1021">
        <v>50542.241201999997</v>
      </c>
      <c r="BB69" s="993"/>
      <c r="BC69" s="994">
        <v>1.0794810324209727</v>
      </c>
      <c r="BD69" s="994">
        <v>0.93731385738588036</v>
      </c>
      <c r="BE69" s="994">
        <v>0.42763696681765867</v>
      </c>
      <c r="BF69" s="735"/>
      <c r="BG69" s="735"/>
      <c r="BH69" s="735"/>
      <c r="BI69" s="735"/>
      <c r="BJ69" s="735"/>
      <c r="BK69" s="735">
        <v>64722.480132000004</v>
      </c>
      <c r="BL69" s="735"/>
      <c r="BM69" s="735">
        <v>0</v>
      </c>
      <c r="BN69" s="735"/>
      <c r="BO69" s="735"/>
      <c r="BP69" s="735"/>
      <c r="BQ69" s="735"/>
      <c r="BR69" s="735"/>
      <c r="BS69" s="735"/>
      <c r="BT69" s="735"/>
      <c r="BU69" s="735"/>
      <c r="BV69" s="735"/>
      <c r="BW69" s="735"/>
      <c r="BX69" s="735"/>
      <c r="BY69" s="735"/>
      <c r="BZ69" s="735"/>
      <c r="CA69" s="735"/>
      <c r="CB69" s="735"/>
      <c r="CC69" s="735"/>
      <c r="CD69" s="735"/>
      <c r="CE69" s="735"/>
      <c r="CF69" s="735"/>
      <c r="CG69" s="735"/>
      <c r="CH69" s="735"/>
      <c r="CI69" s="735"/>
      <c r="CJ69" s="735"/>
      <c r="CK69" s="735"/>
      <c r="CL69" s="735"/>
      <c r="CM69" s="735"/>
      <c r="CN69" s="735"/>
      <c r="CO69" s="735"/>
      <c r="CP69" s="735"/>
      <c r="CQ69" s="735"/>
      <c r="CR69" s="735"/>
      <c r="CS69" s="735"/>
      <c r="CT69" s="735"/>
      <c r="CU69" s="735"/>
      <c r="CV69" s="735"/>
      <c r="CW69" s="735"/>
      <c r="CX69" s="735"/>
      <c r="CY69" s="735"/>
      <c r="CZ69" s="735"/>
      <c r="DA69" s="735"/>
      <c r="DB69" s="735"/>
      <c r="DC69" s="735"/>
      <c r="DD69" s="735"/>
      <c r="DE69" s="735"/>
      <c r="DF69" s="735"/>
      <c r="DG69" s="735"/>
      <c r="DH69" s="735"/>
      <c r="DI69" s="735"/>
      <c r="DJ69" s="735"/>
      <c r="DK69" s="735"/>
      <c r="DL69" s="735"/>
      <c r="DM69" s="735"/>
      <c r="DN69" s="735"/>
      <c r="DO69" s="735"/>
      <c r="DP69" s="735"/>
      <c r="DQ69" s="735"/>
      <c r="DR69" s="735"/>
      <c r="DS69" s="735"/>
      <c r="DT69" s="735"/>
      <c r="DU69" s="735"/>
      <c r="DV69" s="735"/>
      <c r="DW69" s="735"/>
      <c r="DX69" s="735"/>
      <c r="DY69" s="735"/>
      <c r="DZ69" s="735"/>
      <c r="EA69" s="735"/>
      <c r="EB69" s="735"/>
      <c r="EC69" s="735"/>
      <c r="ED69" s="735"/>
      <c r="EE69" s="735"/>
      <c r="EF69" s="735"/>
      <c r="EG69" s="735"/>
      <c r="EH69" s="735"/>
      <c r="EI69" s="735"/>
      <c r="EJ69" s="735"/>
      <c r="EK69" s="735"/>
      <c r="EL69" s="735"/>
      <c r="EM69" s="735"/>
      <c r="EN69" s="735"/>
      <c r="EO69" s="735"/>
      <c r="EP69" s="735"/>
      <c r="EQ69" s="735"/>
      <c r="ER69" s="735"/>
      <c r="ES69" s="735"/>
      <c r="ET69" s="735"/>
      <c r="EU69" s="735"/>
      <c r="EV69" s="735"/>
      <c r="EW69" s="735"/>
      <c r="EX69" s="735"/>
      <c r="EY69" s="735"/>
      <c r="EZ69" s="735"/>
      <c r="FA69" s="735"/>
      <c r="FB69" s="735"/>
      <c r="FC69" s="735"/>
      <c r="FD69" s="735"/>
      <c r="FE69" s="735"/>
    </row>
    <row r="70" spans="1:161" ht="36.75" customHeight="1">
      <c r="A70" s="569">
        <v>1</v>
      </c>
      <c r="B70" s="1001" t="s">
        <v>243</v>
      </c>
      <c r="C70" s="1022">
        <v>5107</v>
      </c>
      <c r="D70" s="1022">
        <v>0</v>
      </c>
      <c r="E70" s="1022">
        <v>0</v>
      </c>
      <c r="F70" s="1022">
        <v>0</v>
      </c>
      <c r="G70" s="1022">
        <v>5107</v>
      </c>
      <c r="H70" s="1022">
        <v>5107</v>
      </c>
      <c r="I70" s="1022">
        <v>0</v>
      </c>
      <c r="J70" s="1022">
        <v>5107</v>
      </c>
      <c r="K70" s="1022">
        <v>0</v>
      </c>
      <c r="L70" s="1022"/>
      <c r="M70" s="1022"/>
      <c r="N70" s="1022">
        <v>5107</v>
      </c>
      <c r="O70" s="1022">
        <v>5107</v>
      </c>
      <c r="P70" s="1022"/>
      <c r="Q70" s="1022">
        <v>0</v>
      </c>
      <c r="R70" s="1022">
        <v>0</v>
      </c>
      <c r="S70" s="1022"/>
      <c r="T70" s="1022"/>
      <c r="U70" s="1022">
        <v>0</v>
      </c>
      <c r="V70" s="1022"/>
      <c r="W70" s="1022"/>
      <c r="X70" s="1022">
        <v>0</v>
      </c>
      <c r="Y70" s="1022">
        <v>0</v>
      </c>
      <c r="Z70" s="1022"/>
      <c r="AA70" s="1022"/>
      <c r="AB70" s="1022">
        <v>0</v>
      </c>
      <c r="AC70" s="1022"/>
      <c r="AD70" s="1022"/>
      <c r="AE70" s="1022">
        <v>1477.623</v>
      </c>
      <c r="AF70" s="1022">
        <v>0</v>
      </c>
      <c r="AG70" s="1022">
        <v>1477.623</v>
      </c>
      <c r="AH70" s="1022">
        <v>1477.623</v>
      </c>
      <c r="AI70" s="1022">
        <v>0</v>
      </c>
      <c r="AJ70" s="1022"/>
      <c r="AK70" s="1022"/>
      <c r="AL70" s="1022">
        <v>1477.623</v>
      </c>
      <c r="AM70" s="1022">
        <v>1477.623</v>
      </c>
      <c r="AN70" s="1022"/>
      <c r="AO70" s="1022">
        <v>0</v>
      </c>
      <c r="AP70" s="1022">
        <v>0</v>
      </c>
      <c r="AQ70" s="1022"/>
      <c r="AR70" s="1022"/>
      <c r="AS70" s="1022">
        <v>0</v>
      </c>
      <c r="AT70" s="1022"/>
      <c r="AU70" s="1024"/>
      <c r="AV70" s="1022">
        <v>0</v>
      </c>
      <c r="AW70" s="1022">
        <v>0</v>
      </c>
      <c r="AX70" s="1022"/>
      <c r="AY70" s="1022"/>
      <c r="AZ70" s="1022">
        <v>0</v>
      </c>
      <c r="BA70" s="1022"/>
      <c r="BB70" s="997"/>
      <c r="BC70" s="996">
        <v>0.24593928128872367</v>
      </c>
      <c r="BD70" s="996"/>
      <c r="BE70" s="996">
        <v>0.24593928128872367</v>
      </c>
    </row>
    <row r="71" spans="1:161" ht="36.75" customHeight="1">
      <c r="A71" s="569">
        <v>2</v>
      </c>
      <c r="B71" s="1001" t="s">
        <v>244</v>
      </c>
      <c r="C71" s="1022">
        <v>3733</v>
      </c>
      <c r="D71" s="1022">
        <v>490</v>
      </c>
      <c r="E71" s="1022">
        <v>375</v>
      </c>
      <c r="F71" s="1022">
        <v>115</v>
      </c>
      <c r="G71" s="1022">
        <v>3243</v>
      </c>
      <c r="H71" s="1022">
        <v>3243</v>
      </c>
      <c r="I71" s="1022">
        <v>0</v>
      </c>
      <c r="J71" s="1022">
        <v>3133</v>
      </c>
      <c r="K71" s="1022">
        <v>0</v>
      </c>
      <c r="L71" s="1022"/>
      <c r="M71" s="1022"/>
      <c r="N71" s="1022">
        <v>3133</v>
      </c>
      <c r="O71" s="1025">
        <v>3133</v>
      </c>
      <c r="P71" s="1025"/>
      <c r="Q71" s="1022">
        <v>600</v>
      </c>
      <c r="R71" s="1022">
        <v>490</v>
      </c>
      <c r="S71" s="1022">
        <v>375</v>
      </c>
      <c r="T71" s="1022">
        <v>115</v>
      </c>
      <c r="U71" s="1022">
        <v>110</v>
      </c>
      <c r="V71" s="1025">
        <v>110</v>
      </c>
      <c r="W71" s="1025"/>
      <c r="X71" s="1022">
        <v>0</v>
      </c>
      <c r="Y71" s="1022">
        <v>0</v>
      </c>
      <c r="Z71" s="1022"/>
      <c r="AA71" s="1022"/>
      <c r="AB71" s="1022">
        <v>0</v>
      </c>
      <c r="AC71" s="1025"/>
      <c r="AD71" s="1025"/>
      <c r="AE71" s="1022">
        <v>2078.5525000000002</v>
      </c>
      <c r="AF71" s="1022">
        <v>295.80650000000003</v>
      </c>
      <c r="AG71" s="1022">
        <v>1782.7460000000001</v>
      </c>
      <c r="AH71" s="1022">
        <v>1672.7460000000001</v>
      </c>
      <c r="AI71" s="1022">
        <v>0</v>
      </c>
      <c r="AJ71" s="1022"/>
      <c r="AK71" s="1022"/>
      <c r="AL71" s="1022">
        <v>1672.7460000000001</v>
      </c>
      <c r="AM71" s="1022">
        <v>1672.7460000000001</v>
      </c>
      <c r="AN71" s="1022"/>
      <c r="AO71" s="1022">
        <v>405.80650000000003</v>
      </c>
      <c r="AP71" s="1022">
        <v>295.80650000000003</v>
      </c>
      <c r="AQ71" s="1022">
        <v>295.80650000000003</v>
      </c>
      <c r="AR71" s="1022"/>
      <c r="AS71" s="1022">
        <v>110</v>
      </c>
      <c r="AT71" s="1025">
        <v>110</v>
      </c>
      <c r="AU71" s="1024"/>
      <c r="AV71" s="1022">
        <v>0</v>
      </c>
      <c r="AW71" s="1022">
        <v>0</v>
      </c>
      <c r="AX71" s="1022"/>
      <c r="AY71" s="1022"/>
      <c r="AZ71" s="1022">
        <v>0</v>
      </c>
      <c r="BA71" s="1025"/>
      <c r="BB71" s="997"/>
      <c r="BC71" s="996">
        <v>0.3428863982436352</v>
      </c>
      <c r="BD71" s="996">
        <v>0.93731385738588036</v>
      </c>
      <c r="BE71" s="996">
        <v>0.10692177827799662</v>
      </c>
    </row>
    <row r="72" spans="1:161" ht="36.75" customHeight="1">
      <c r="A72" s="569">
        <v>3</v>
      </c>
      <c r="B72" s="1001" t="s">
        <v>247</v>
      </c>
      <c r="C72" s="1022">
        <v>72713</v>
      </c>
      <c r="D72" s="1022">
        <v>58314</v>
      </c>
      <c r="E72" s="1022">
        <v>44463</v>
      </c>
      <c r="F72" s="1022">
        <v>13851</v>
      </c>
      <c r="G72" s="1022">
        <v>14399</v>
      </c>
      <c r="H72" s="1022">
        <v>14399</v>
      </c>
      <c r="I72" s="1022">
        <v>0</v>
      </c>
      <c r="J72" s="1022">
        <v>19884</v>
      </c>
      <c r="K72" s="1022">
        <v>9700</v>
      </c>
      <c r="L72" s="1022">
        <v>9700</v>
      </c>
      <c r="M72" s="1022"/>
      <c r="N72" s="1022">
        <v>10184</v>
      </c>
      <c r="O72" s="1022">
        <v>10184</v>
      </c>
      <c r="P72" s="1022"/>
      <c r="Q72" s="1022">
        <v>52829</v>
      </c>
      <c r="R72" s="1022">
        <v>48614</v>
      </c>
      <c r="S72" s="1022">
        <v>34763</v>
      </c>
      <c r="T72" s="1022">
        <v>13851</v>
      </c>
      <c r="U72" s="1022">
        <v>4215</v>
      </c>
      <c r="V72" s="1022">
        <v>4215</v>
      </c>
      <c r="W72" s="1022"/>
      <c r="X72" s="1022">
        <v>0</v>
      </c>
      <c r="Y72" s="1022">
        <v>0</v>
      </c>
      <c r="Z72" s="1022"/>
      <c r="AA72" s="1022"/>
      <c r="AB72" s="1022">
        <v>0</v>
      </c>
      <c r="AC72" s="1022"/>
      <c r="AD72" s="1022"/>
      <c r="AE72" s="1022">
        <v>86766.0524</v>
      </c>
      <c r="AF72" s="1022">
        <v>82814.706000000006</v>
      </c>
      <c r="AG72" s="1022">
        <v>3951.3463999999994</v>
      </c>
      <c r="AH72" s="1022">
        <v>24112.426500000001</v>
      </c>
      <c r="AI72" s="1022">
        <v>22029.292000000001</v>
      </c>
      <c r="AJ72" s="1022">
        <v>22029.292000000001</v>
      </c>
      <c r="AK72" s="1022"/>
      <c r="AL72" s="1022">
        <v>2083.1344999999997</v>
      </c>
      <c r="AM72" s="1022">
        <v>2083.1344999999997</v>
      </c>
      <c r="AN72" s="1022"/>
      <c r="AO72" s="1022">
        <v>62653.625900000006</v>
      </c>
      <c r="AP72" s="1022">
        <v>60785.414000000004</v>
      </c>
      <c r="AQ72" s="1022">
        <v>43621.201000000001</v>
      </c>
      <c r="AR72" s="1022">
        <v>17164.213</v>
      </c>
      <c r="AS72" s="1022">
        <v>1868.2119</v>
      </c>
      <c r="AT72" s="1022">
        <v>1868.2119</v>
      </c>
      <c r="AU72" s="1024"/>
      <c r="AV72" s="1022">
        <v>0</v>
      </c>
      <c r="AW72" s="1022">
        <v>0</v>
      </c>
      <c r="AX72" s="1022"/>
      <c r="AY72" s="1022"/>
      <c r="AZ72" s="1022">
        <v>0</v>
      </c>
      <c r="BA72" s="1022"/>
      <c r="BB72" s="997"/>
      <c r="BC72" s="996">
        <v>0.46408731448028695</v>
      </c>
      <c r="BD72" s="996">
        <v>0.44133625918441632</v>
      </c>
      <c r="BE72" s="996">
        <v>0.60146204028743078</v>
      </c>
    </row>
    <row r="73" spans="1:161" ht="36.75" customHeight="1">
      <c r="A73" s="569">
        <v>4</v>
      </c>
      <c r="B73" s="1001" t="s">
        <v>248</v>
      </c>
      <c r="C73" s="1022">
        <v>64239</v>
      </c>
      <c r="D73" s="1022">
        <v>51364</v>
      </c>
      <c r="E73" s="1022">
        <v>40622</v>
      </c>
      <c r="F73" s="1022">
        <v>10742</v>
      </c>
      <c r="G73" s="1022">
        <v>12875</v>
      </c>
      <c r="H73" s="1022">
        <v>12875</v>
      </c>
      <c r="I73" s="1022">
        <v>0</v>
      </c>
      <c r="J73" s="1022">
        <v>10656</v>
      </c>
      <c r="K73" s="1022">
        <v>2500</v>
      </c>
      <c r="L73" s="1022">
        <v>2500</v>
      </c>
      <c r="M73" s="1022"/>
      <c r="N73" s="1022">
        <v>8156</v>
      </c>
      <c r="O73" s="1025">
        <v>8156</v>
      </c>
      <c r="P73" s="1025"/>
      <c r="Q73" s="1022">
        <v>53583</v>
      </c>
      <c r="R73" s="1022">
        <v>48864</v>
      </c>
      <c r="S73" s="1022">
        <v>38122</v>
      </c>
      <c r="T73" s="1022">
        <v>10742</v>
      </c>
      <c r="U73" s="1022">
        <v>4719</v>
      </c>
      <c r="V73" s="1025">
        <v>4719</v>
      </c>
      <c r="W73" s="1025"/>
      <c r="X73" s="1022">
        <v>0</v>
      </c>
      <c r="Y73" s="1022">
        <v>0</v>
      </c>
      <c r="Z73" s="1022"/>
      <c r="AA73" s="1022"/>
      <c r="AB73" s="1022">
        <v>0</v>
      </c>
      <c r="AC73" s="1025"/>
      <c r="AD73" s="1025"/>
      <c r="AE73" s="1022">
        <v>85115.432132000002</v>
      </c>
      <c r="AF73" s="1022">
        <v>80967.806899999996</v>
      </c>
      <c r="AG73" s="1022">
        <v>4147.6252320000003</v>
      </c>
      <c r="AH73" s="1022">
        <v>7242.3935320000001</v>
      </c>
      <c r="AI73" s="1022">
        <v>4866.8729999999996</v>
      </c>
      <c r="AJ73" s="1022">
        <v>4866.8729999999996</v>
      </c>
      <c r="AK73" s="1022"/>
      <c r="AL73" s="1022">
        <v>2375.520532</v>
      </c>
      <c r="AM73" s="1022">
        <v>2375.520532</v>
      </c>
      <c r="AN73" s="1022"/>
      <c r="AO73" s="1022">
        <v>77873.0386</v>
      </c>
      <c r="AP73" s="1022">
        <v>76100.933900000004</v>
      </c>
      <c r="AQ73" s="1022">
        <v>55812.4709</v>
      </c>
      <c r="AR73" s="1022">
        <v>20288.463</v>
      </c>
      <c r="AS73" s="1022">
        <v>1772.1046999999999</v>
      </c>
      <c r="AT73" s="1025">
        <v>1772.1046999999999</v>
      </c>
      <c r="AU73" s="1024"/>
      <c r="AV73" s="1022">
        <v>0</v>
      </c>
      <c r="AW73" s="1022">
        <v>0</v>
      </c>
      <c r="AX73" s="1022"/>
      <c r="AY73" s="1022"/>
      <c r="AZ73" s="1022">
        <v>0</v>
      </c>
      <c r="BA73" s="1025"/>
      <c r="BB73" s="997"/>
      <c r="BC73" s="996">
        <v>0.30068213666749671</v>
      </c>
      <c r="BD73" s="996">
        <v>0.23576500217020921</v>
      </c>
      <c r="BE73" s="996">
        <v>0.6499836689587426</v>
      </c>
    </row>
    <row r="74" spans="1:161" ht="36.75" customHeight="1">
      <c r="A74" s="569">
        <v>5</v>
      </c>
      <c r="B74" s="1001" t="s">
        <v>246</v>
      </c>
      <c r="C74" s="1022">
        <v>56126</v>
      </c>
      <c r="D74" s="1022">
        <v>38343</v>
      </c>
      <c r="E74" s="1022">
        <v>19682</v>
      </c>
      <c r="F74" s="1022">
        <v>18661</v>
      </c>
      <c r="G74" s="1022">
        <v>17783</v>
      </c>
      <c r="H74" s="1022">
        <v>17783</v>
      </c>
      <c r="I74" s="1022">
        <v>0</v>
      </c>
      <c r="J74" s="1022">
        <v>14538</v>
      </c>
      <c r="K74" s="1022">
        <v>5500</v>
      </c>
      <c r="L74" s="1022">
        <v>5500</v>
      </c>
      <c r="M74" s="1022"/>
      <c r="N74" s="1022">
        <v>9038</v>
      </c>
      <c r="O74" s="1022">
        <v>9038</v>
      </c>
      <c r="P74" s="1022"/>
      <c r="Q74" s="1022">
        <v>28464</v>
      </c>
      <c r="R74" s="1022">
        <v>25786</v>
      </c>
      <c r="S74" s="1022">
        <v>7125</v>
      </c>
      <c r="T74" s="1022">
        <v>18661</v>
      </c>
      <c r="U74" s="1022">
        <v>2678</v>
      </c>
      <c r="V74" s="1022">
        <v>2678</v>
      </c>
      <c r="W74" s="1022"/>
      <c r="X74" s="1022">
        <v>13124</v>
      </c>
      <c r="Y74" s="1022">
        <v>7057</v>
      </c>
      <c r="Z74" s="1022">
        <v>7057</v>
      </c>
      <c r="AA74" s="1022"/>
      <c r="AB74" s="1022">
        <v>6067</v>
      </c>
      <c r="AC74" s="1022">
        <v>6067</v>
      </c>
      <c r="AD74" s="1022"/>
      <c r="AE74" s="1022">
        <v>73323.696200000006</v>
      </c>
      <c r="AF74" s="1022">
        <v>58350.245999999999</v>
      </c>
      <c r="AG74" s="1022">
        <v>14973.450199999999</v>
      </c>
      <c r="AH74" s="1022">
        <v>19427.5072</v>
      </c>
      <c r="AI74" s="1022">
        <v>11490.630999999999</v>
      </c>
      <c r="AJ74" s="1022">
        <v>11490.630999999999</v>
      </c>
      <c r="AK74" s="1022"/>
      <c r="AL74" s="1022">
        <v>7936.8761999999997</v>
      </c>
      <c r="AM74" s="1022">
        <v>7936.8761999999997</v>
      </c>
      <c r="AN74" s="1022"/>
      <c r="AO74" s="1022">
        <v>34972.5</v>
      </c>
      <c r="AP74" s="1022">
        <v>31936</v>
      </c>
      <c r="AQ74" s="1022">
        <v>16891.523000000001</v>
      </c>
      <c r="AR74" s="1022">
        <v>15044.477000000001</v>
      </c>
      <c r="AS74" s="1022">
        <v>3036.5</v>
      </c>
      <c r="AT74" s="1022">
        <v>3036.5</v>
      </c>
      <c r="AU74" s="1024"/>
      <c r="AV74" s="1022">
        <v>18923.688999999998</v>
      </c>
      <c r="AW74" s="1022">
        <v>14923.615</v>
      </c>
      <c r="AX74" s="1022">
        <v>14923.615</v>
      </c>
      <c r="AY74" s="1022"/>
      <c r="AZ74" s="1022">
        <v>4000.0740000000001</v>
      </c>
      <c r="BA74" s="1022">
        <v>4000.0740000000001</v>
      </c>
      <c r="BB74" s="997"/>
      <c r="BC74" s="996">
        <v>0.31864331385883132</v>
      </c>
      <c r="BD74" s="996">
        <v>0.29040599955650886</v>
      </c>
      <c r="BE74" s="996">
        <v>0.4221877864757525</v>
      </c>
    </row>
    <row r="75" spans="1:161" ht="36.75" customHeight="1">
      <c r="A75" s="569">
        <v>6</v>
      </c>
      <c r="B75" s="1001" t="s">
        <v>1914</v>
      </c>
      <c r="C75" s="1022">
        <v>58302</v>
      </c>
      <c r="D75" s="1022">
        <v>39984</v>
      </c>
      <c r="E75" s="1022">
        <v>21873</v>
      </c>
      <c r="F75" s="1022">
        <v>18111</v>
      </c>
      <c r="G75" s="1022">
        <v>18318</v>
      </c>
      <c r="H75" s="1022">
        <v>18318</v>
      </c>
      <c r="I75" s="1022">
        <v>0</v>
      </c>
      <c r="J75" s="1022">
        <v>9545</v>
      </c>
      <c r="K75" s="1022">
        <v>2500</v>
      </c>
      <c r="L75" s="1022">
        <v>2500</v>
      </c>
      <c r="M75" s="1022"/>
      <c r="N75" s="1022">
        <v>7045</v>
      </c>
      <c r="O75" s="1025">
        <v>7045</v>
      </c>
      <c r="P75" s="1025"/>
      <c r="Q75" s="1022">
        <v>25171</v>
      </c>
      <c r="R75" s="1022">
        <v>23936</v>
      </c>
      <c r="S75" s="1022">
        <v>5825</v>
      </c>
      <c r="T75" s="1022">
        <v>18111</v>
      </c>
      <c r="U75" s="1022">
        <v>1235</v>
      </c>
      <c r="V75" s="1025">
        <v>1235</v>
      </c>
      <c r="W75" s="1025"/>
      <c r="X75" s="1022">
        <v>23586</v>
      </c>
      <c r="Y75" s="1022">
        <v>13548</v>
      </c>
      <c r="Z75" s="1022">
        <v>13548</v>
      </c>
      <c r="AA75" s="1022"/>
      <c r="AB75" s="1022">
        <v>10038</v>
      </c>
      <c r="AC75" s="1025">
        <v>10038</v>
      </c>
      <c r="AD75" s="1025"/>
      <c r="AE75" s="1022">
        <v>62512.073250000001</v>
      </c>
      <c r="AF75" s="1022">
        <v>48780.391889999999</v>
      </c>
      <c r="AG75" s="1022">
        <v>13731.681359999999</v>
      </c>
      <c r="AH75" s="1022">
        <v>11369.216</v>
      </c>
      <c r="AI75" s="1022">
        <v>5063.6090000000004</v>
      </c>
      <c r="AJ75" s="1022">
        <v>5063.6090000000004</v>
      </c>
      <c r="AK75" s="1022"/>
      <c r="AL75" s="1022">
        <v>6305.607</v>
      </c>
      <c r="AM75" s="1022">
        <v>6305.607</v>
      </c>
      <c r="AN75" s="1022"/>
      <c r="AO75" s="1022">
        <v>28518.210480000002</v>
      </c>
      <c r="AP75" s="1022">
        <v>27258.3302</v>
      </c>
      <c r="AQ75" s="1022">
        <v>8221.6440000000002</v>
      </c>
      <c r="AR75" s="1022">
        <v>19036.6862</v>
      </c>
      <c r="AS75" s="1022">
        <v>1259.8802799999999</v>
      </c>
      <c r="AT75" s="1025">
        <v>1259.8802799999999</v>
      </c>
      <c r="AU75" s="1024"/>
      <c r="AV75" s="1022">
        <v>22624.646769999999</v>
      </c>
      <c r="AW75" s="1022">
        <v>16458.452689999998</v>
      </c>
      <c r="AX75" s="1022">
        <v>16458.452689999998</v>
      </c>
      <c r="AY75" s="1022"/>
      <c r="AZ75" s="1022">
        <v>6166.1940799999993</v>
      </c>
      <c r="BA75" s="1025">
        <v>6166.1940799999993</v>
      </c>
      <c r="BB75" s="997"/>
      <c r="BC75" s="996">
        <v>0.67950592291937795</v>
      </c>
      <c r="BD75" s="996">
        <v>0.7304943779320956</v>
      </c>
      <c r="BE75" s="996">
        <v>0.50236104283498395</v>
      </c>
    </row>
    <row r="76" spans="1:161" ht="36.75" customHeight="1">
      <c r="A76" s="569">
        <v>7</v>
      </c>
      <c r="B76" s="1001" t="s">
        <v>251</v>
      </c>
      <c r="C76" s="1022">
        <v>22670.5</v>
      </c>
      <c r="D76" s="1022">
        <v>15070.5</v>
      </c>
      <c r="E76" s="1022">
        <v>7321</v>
      </c>
      <c r="F76" s="1022">
        <v>7749.5</v>
      </c>
      <c r="G76" s="1022">
        <v>7600</v>
      </c>
      <c r="H76" s="1022">
        <v>7600</v>
      </c>
      <c r="I76" s="1022">
        <v>0</v>
      </c>
      <c r="J76" s="1022">
        <v>6929</v>
      </c>
      <c r="K76" s="1022">
        <v>3012</v>
      </c>
      <c r="L76" s="1026">
        <v>3012</v>
      </c>
      <c r="M76" s="1022"/>
      <c r="N76" s="1022">
        <v>3917</v>
      </c>
      <c r="O76" s="1022">
        <v>3917</v>
      </c>
      <c r="P76" s="1022"/>
      <c r="Q76" s="1022">
        <v>13729.5</v>
      </c>
      <c r="R76" s="1022">
        <v>11274.5</v>
      </c>
      <c r="S76" s="1026">
        <v>3525</v>
      </c>
      <c r="T76" s="1022">
        <v>7749.5</v>
      </c>
      <c r="U76" s="1022">
        <v>2455</v>
      </c>
      <c r="V76" s="1022">
        <v>2455</v>
      </c>
      <c r="W76" s="1022"/>
      <c r="X76" s="1022">
        <v>2012</v>
      </c>
      <c r="Y76" s="1022">
        <v>784</v>
      </c>
      <c r="Z76" s="1026">
        <v>784</v>
      </c>
      <c r="AA76" s="1022"/>
      <c r="AB76" s="1022">
        <v>1228</v>
      </c>
      <c r="AC76" s="1022">
        <v>1228</v>
      </c>
      <c r="AD76" s="1022"/>
      <c r="AE76" s="1022">
        <v>24032.7935</v>
      </c>
      <c r="AF76" s="1022">
        <v>17427.73</v>
      </c>
      <c r="AG76" s="1022">
        <v>6605.0635000000002</v>
      </c>
      <c r="AH76" s="1022">
        <v>7172.6924999999992</v>
      </c>
      <c r="AI76" s="1022">
        <v>4175.7479999999996</v>
      </c>
      <c r="AJ76" s="1022">
        <v>4175.7479999999996</v>
      </c>
      <c r="AK76" s="1022"/>
      <c r="AL76" s="1022">
        <v>2996.9444999999996</v>
      </c>
      <c r="AM76" s="1022">
        <v>2996.9444999999996</v>
      </c>
      <c r="AN76" s="1022"/>
      <c r="AO76" s="1022">
        <v>14706.155000000001</v>
      </c>
      <c r="AP76" s="1022">
        <v>12180.536</v>
      </c>
      <c r="AQ76" s="1026">
        <v>4846.3999999999996</v>
      </c>
      <c r="AR76" s="1022">
        <v>7334.1360000000004</v>
      </c>
      <c r="AS76" s="1022">
        <v>2525.6190000000001</v>
      </c>
      <c r="AT76" s="1022">
        <v>2525.6190000000001</v>
      </c>
      <c r="AU76" s="1024"/>
      <c r="AV76" s="1022">
        <v>2153.9459999999999</v>
      </c>
      <c r="AW76" s="1022">
        <v>1071.4459999999999</v>
      </c>
      <c r="AX76" s="1026">
        <v>1071.4459999999999</v>
      </c>
      <c r="AY76" s="1022"/>
      <c r="AZ76" s="1022">
        <v>1082.5</v>
      </c>
      <c r="BA76" s="1022">
        <v>1082.5</v>
      </c>
      <c r="BB76" s="997"/>
      <c r="BC76" s="996">
        <v>0.73600141837320798</v>
      </c>
      <c r="BD76" s="996">
        <v>0.79408148276842405</v>
      </c>
      <c r="BE76" s="996">
        <v>0.56881427597181189</v>
      </c>
    </row>
    <row r="77" spans="1:161" ht="36.75" customHeight="1">
      <c r="A77" s="569">
        <v>8</v>
      </c>
      <c r="B77" s="1001" t="s">
        <v>249</v>
      </c>
      <c r="C77" s="1022">
        <v>244569</v>
      </c>
      <c r="D77" s="1022">
        <v>117515</v>
      </c>
      <c r="E77" s="1022">
        <v>117495</v>
      </c>
      <c r="F77" s="1022">
        <v>20</v>
      </c>
      <c r="G77" s="1022">
        <v>127054</v>
      </c>
      <c r="H77" s="1022">
        <v>127054</v>
      </c>
      <c r="I77" s="1022">
        <v>0</v>
      </c>
      <c r="J77" s="1022">
        <v>104658</v>
      </c>
      <c r="K77" s="1022">
        <v>41166</v>
      </c>
      <c r="L77" s="1022">
        <v>41166</v>
      </c>
      <c r="M77" s="1022"/>
      <c r="N77" s="1022">
        <v>63492</v>
      </c>
      <c r="O77" s="1025">
        <v>63492</v>
      </c>
      <c r="P77" s="1025"/>
      <c r="Q77" s="1022">
        <v>3410</v>
      </c>
      <c r="R77" s="1022">
        <v>2270</v>
      </c>
      <c r="S77" s="1022">
        <v>2250</v>
      </c>
      <c r="T77" s="1022">
        <v>20</v>
      </c>
      <c r="U77" s="1022">
        <v>1140</v>
      </c>
      <c r="V77" s="1025">
        <v>1140</v>
      </c>
      <c r="W77" s="1025"/>
      <c r="X77" s="1022">
        <v>136501</v>
      </c>
      <c r="Y77" s="1022">
        <v>74079</v>
      </c>
      <c r="Z77" s="1022">
        <v>74079</v>
      </c>
      <c r="AA77" s="1022"/>
      <c r="AB77" s="1022">
        <v>62422</v>
      </c>
      <c r="AC77" s="1025">
        <v>62422</v>
      </c>
      <c r="AD77" s="1025"/>
      <c r="AE77" s="1022">
        <v>267607.02711099997</v>
      </c>
      <c r="AF77" s="1022">
        <v>217726.54332599998</v>
      </c>
      <c r="AG77" s="1022">
        <v>49880.483785000004</v>
      </c>
      <c r="AH77" s="1022">
        <v>131518.40131399999</v>
      </c>
      <c r="AI77" s="1022">
        <v>97012.736313999994</v>
      </c>
      <c r="AJ77" s="1022">
        <v>97012.736313999994</v>
      </c>
      <c r="AK77" s="1022"/>
      <c r="AL77" s="1022">
        <v>34505.665000000001</v>
      </c>
      <c r="AM77" s="1022">
        <v>34505.665000000001</v>
      </c>
      <c r="AN77" s="1022"/>
      <c r="AO77" s="1022">
        <v>18158.770288000003</v>
      </c>
      <c r="AP77" s="1022">
        <v>17766.750403000002</v>
      </c>
      <c r="AQ77" s="1022">
        <v>17764.160403000002</v>
      </c>
      <c r="AR77" s="1022">
        <v>2.59</v>
      </c>
      <c r="AS77" s="1022">
        <v>392.01988500000004</v>
      </c>
      <c r="AT77" s="1025">
        <v>392.01988500000004</v>
      </c>
      <c r="AU77" s="1025"/>
      <c r="AV77" s="1022">
        <v>117929.855509</v>
      </c>
      <c r="AW77" s="1022">
        <v>102947.05660900001</v>
      </c>
      <c r="AX77" s="1022">
        <v>102947.05660900001</v>
      </c>
      <c r="AY77" s="1022"/>
      <c r="AZ77" s="1022">
        <v>14982.798899999998</v>
      </c>
      <c r="BA77" s="1025">
        <v>14982.798899999998</v>
      </c>
      <c r="BB77" s="998"/>
      <c r="BC77" s="996">
        <v>9.0119958427540336E-2</v>
      </c>
      <c r="BD77" s="996">
        <v>7.758714221076278E-2</v>
      </c>
      <c r="BE77" s="996">
        <v>0.15808273041390852</v>
      </c>
    </row>
    <row r="78" spans="1:161" ht="36.75" customHeight="1">
      <c r="A78" s="569">
        <v>9</v>
      </c>
      <c r="B78" s="1001" t="s">
        <v>250</v>
      </c>
      <c r="C78" s="1022">
        <v>188233</v>
      </c>
      <c r="D78" s="1022">
        <v>99880</v>
      </c>
      <c r="E78" s="1022">
        <v>99630</v>
      </c>
      <c r="F78" s="1022">
        <v>250</v>
      </c>
      <c r="G78" s="1022">
        <v>88353</v>
      </c>
      <c r="H78" s="1022">
        <v>88353</v>
      </c>
      <c r="I78" s="1022">
        <v>0</v>
      </c>
      <c r="J78" s="1022">
        <v>16781</v>
      </c>
      <c r="K78" s="1022">
        <v>3000</v>
      </c>
      <c r="L78" s="1022">
        <v>3000</v>
      </c>
      <c r="M78" s="1022"/>
      <c r="N78" s="1022">
        <v>13781</v>
      </c>
      <c r="O78" s="1022">
        <v>13781</v>
      </c>
      <c r="P78" s="1022"/>
      <c r="Q78" s="1022">
        <v>4370</v>
      </c>
      <c r="R78" s="1022">
        <v>2125</v>
      </c>
      <c r="S78" s="1022">
        <v>1875</v>
      </c>
      <c r="T78" s="1022">
        <v>250</v>
      </c>
      <c r="U78" s="1022">
        <v>2245</v>
      </c>
      <c r="V78" s="1022">
        <v>2245</v>
      </c>
      <c r="W78" s="1022"/>
      <c r="X78" s="1022">
        <v>167082</v>
      </c>
      <c r="Y78" s="1022">
        <v>94755</v>
      </c>
      <c r="Z78" s="1022">
        <v>94755</v>
      </c>
      <c r="AA78" s="1022"/>
      <c r="AB78" s="1022">
        <v>72327</v>
      </c>
      <c r="AC78" s="1022">
        <v>72327</v>
      </c>
      <c r="AD78" s="1022"/>
      <c r="AE78" s="1022">
        <v>160694.72020700001</v>
      </c>
      <c r="AF78" s="1022">
        <v>132091.470542</v>
      </c>
      <c r="AG78" s="1022">
        <v>28603.249664999999</v>
      </c>
      <c r="AH78" s="1022">
        <v>10079.104300000001</v>
      </c>
      <c r="AI78" s="1022">
        <v>6628.0859</v>
      </c>
      <c r="AJ78" s="1022">
        <v>6628.0859</v>
      </c>
      <c r="AK78" s="1022"/>
      <c r="AL78" s="1022">
        <v>3451.0184000000004</v>
      </c>
      <c r="AM78" s="1022">
        <v>3451.0184000000004</v>
      </c>
      <c r="AN78" s="1022"/>
      <c r="AO78" s="1022">
        <v>8119.5508179999997</v>
      </c>
      <c r="AP78" s="1022">
        <v>7277.8626420000001</v>
      </c>
      <c r="AQ78" s="1022">
        <v>7239.3606419999996</v>
      </c>
      <c r="AR78" s="1022">
        <v>38.502000000000002</v>
      </c>
      <c r="AS78" s="1022">
        <v>841.688176</v>
      </c>
      <c r="AT78" s="1022">
        <v>841.688176</v>
      </c>
      <c r="AU78" s="1024"/>
      <c r="AV78" s="1022">
        <v>142496.06508899998</v>
      </c>
      <c r="AW78" s="1022">
        <v>118185.522</v>
      </c>
      <c r="AX78" s="1022">
        <v>118185.522</v>
      </c>
      <c r="AY78" s="1022"/>
      <c r="AZ78" s="1022">
        <v>24310.543088999999</v>
      </c>
      <c r="BA78" s="1022">
        <v>24310.543088999999</v>
      </c>
      <c r="BB78" s="997"/>
      <c r="BC78" s="996">
        <v>0.33240966274620848</v>
      </c>
      <c r="BD78" s="996">
        <v>0.35709323538995819</v>
      </c>
      <c r="BE78" s="996">
        <v>0.23468227966071495</v>
      </c>
    </row>
    <row r="79" spans="1:161" ht="36.75" customHeight="1">
      <c r="A79" s="569">
        <v>10</v>
      </c>
      <c r="B79" s="1001" t="s">
        <v>1915</v>
      </c>
      <c r="C79" s="1022">
        <v>11414</v>
      </c>
      <c r="D79" s="1022">
        <v>9000</v>
      </c>
      <c r="E79" s="1022">
        <v>9000</v>
      </c>
      <c r="F79" s="1022">
        <v>0</v>
      </c>
      <c r="G79" s="1022">
        <v>2414</v>
      </c>
      <c r="H79" s="1022">
        <v>2414</v>
      </c>
      <c r="I79" s="1022">
        <v>0</v>
      </c>
      <c r="J79" s="1022">
        <v>11414</v>
      </c>
      <c r="K79" s="1022">
        <v>9000</v>
      </c>
      <c r="L79" s="1022">
        <v>9000</v>
      </c>
      <c r="M79" s="1022"/>
      <c r="N79" s="1022">
        <v>2414</v>
      </c>
      <c r="O79" s="1022">
        <v>2414</v>
      </c>
      <c r="P79" s="1022"/>
      <c r="Q79" s="1022">
        <v>0</v>
      </c>
      <c r="R79" s="1022">
        <v>0</v>
      </c>
      <c r="S79" s="1022"/>
      <c r="T79" s="1022"/>
      <c r="U79" s="1022">
        <v>0</v>
      </c>
      <c r="V79" s="1022"/>
      <c r="W79" s="1022"/>
      <c r="X79" s="1022">
        <v>0</v>
      </c>
      <c r="Y79" s="1022">
        <v>0</v>
      </c>
      <c r="Z79" s="1022"/>
      <c r="AA79" s="1022"/>
      <c r="AB79" s="1022">
        <v>0</v>
      </c>
      <c r="AC79" s="1022"/>
      <c r="AD79" s="1022"/>
      <c r="AE79" s="1022">
        <v>21289.705000000002</v>
      </c>
      <c r="AF79" s="1022">
        <v>19372.36</v>
      </c>
      <c r="AG79" s="1022">
        <v>1917.345</v>
      </c>
      <c r="AH79" s="1022">
        <v>21289.705000000002</v>
      </c>
      <c r="AI79" s="1022">
        <v>19372.36</v>
      </c>
      <c r="AJ79" s="1022">
        <v>19372.36</v>
      </c>
      <c r="AK79" s="1022"/>
      <c r="AL79" s="1022">
        <v>1917.345</v>
      </c>
      <c r="AM79" s="1022">
        <v>1917.345</v>
      </c>
      <c r="AN79" s="1022"/>
      <c r="AO79" s="1022">
        <v>0</v>
      </c>
      <c r="AP79" s="1022">
        <v>0</v>
      </c>
      <c r="AQ79" s="1022"/>
      <c r="AR79" s="1022"/>
      <c r="AS79" s="1022">
        <v>0</v>
      </c>
      <c r="AT79" s="1022"/>
      <c r="AU79" s="1024"/>
      <c r="AV79" s="1022">
        <v>0</v>
      </c>
      <c r="AW79" s="1022">
        <v>0</v>
      </c>
      <c r="AX79" s="1022"/>
      <c r="AY79" s="1022"/>
      <c r="AZ79" s="1022">
        <v>0</v>
      </c>
      <c r="BA79" s="1022"/>
      <c r="BB79" s="997"/>
      <c r="BC79" s="996">
        <v>2.3512472777667787E-2</v>
      </c>
      <c r="BD79" s="996">
        <v>2.6391444444444443E-2</v>
      </c>
      <c r="BE79" s="996">
        <v>0</v>
      </c>
    </row>
    <row r="80" spans="1:161">
      <c r="A80" s="568"/>
    </row>
  </sheetData>
  <autoFilter ref="A19:FE79"/>
  <mergeCells count="72">
    <mergeCell ref="AE11:BB11"/>
    <mergeCell ref="BC11:BE11"/>
    <mergeCell ref="H13:I14"/>
    <mergeCell ref="J13:J15"/>
    <mergeCell ref="A2:BE2"/>
    <mergeCell ref="A3:BE3"/>
    <mergeCell ref="C12:C15"/>
    <mergeCell ref="A4:BE4"/>
    <mergeCell ref="AT5:BE5"/>
    <mergeCell ref="A11:A15"/>
    <mergeCell ref="B11:B15"/>
    <mergeCell ref="C11:AD11"/>
    <mergeCell ref="AB13:AD13"/>
    <mergeCell ref="AL13:AN13"/>
    <mergeCell ref="Y14:Y15"/>
    <mergeCell ref="D12:I12"/>
    <mergeCell ref="J12:P12"/>
    <mergeCell ref="Q12:W12"/>
    <mergeCell ref="X12:AD12"/>
    <mergeCell ref="AE12:AE15"/>
    <mergeCell ref="E13:F14"/>
    <mergeCell ref="G13:G15"/>
    <mergeCell ref="BC12:BC15"/>
    <mergeCell ref="R13:T13"/>
    <mergeCell ref="L14:M14"/>
    <mergeCell ref="N14:N15"/>
    <mergeCell ref="S14:T14"/>
    <mergeCell ref="N13:P13"/>
    <mergeCell ref="Q13:Q15"/>
    <mergeCell ref="AZ13:BB13"/>
    <mergeCell ref="AF12:AG12"/>
    <mergeCell ref="AH12:AN12"/>
    <mergeCell ref="AT14:AU14"/>
    <mergeCell ref="AW14:AW15"/>
    <mergeCell ref="U14:U15"/>
    <mergeCell ref="V14:W14"/>
    <mergeCell ref="AC14:AD14"/>
    <mergeCell ref="AI14:AI15"/>
    <mergeCell ref="AJ14:AK14"/>
    <mergeCell ref="AL14:AL15"/>
    <mergeCell ref="D13:D15"/>
    <mergeCell ref="AO12:AU12"/>
    <mergeCell ref="AV12:BB12"/>
    <mergeCell ref="U13:W13"/>
    <mergeCell ref="X13:X15"/>
    <mergeCell ref="Y13:AA13"/>
    <mergeCell ref="Z14:AA14"/>
    <mergeCell ref="AB14:AB15"/>
    <mergeCell ref="AH13:AH15"/>
    <mergeCell ref="AI13:AK13"/>
    <mergeCell ref="AS13:AU13"/>
    <mergeCell ref="AV13:AV15"/>
    <mergeCell ref="AW13:AY13"/>
    <mergeCell ref="AO13:AO15"/>
    <mergeCell ref="AQ14:AR14"/>
    <mergeCell ref="AS14:AS15"/>
    <mergeCell ref="K14:K15"/>
    <mergeCell ref="BB10:BE10"/>
    <mergeCell ref="BD13:BD15"/>
    <mergeCell ref="BE13:BE15"/>
    <mergeCell ref="BA14:BB14"/>
    <mergeCell ref="K13:M13"/>
    <mergeCell ref="AX14:AY14"/>
    <mergeCell ref="AZ14:AZ15"/>
    <mergeCell ref="BD12:BE12"/>
    <mergeCell ref="AP13:AR13"/>
    <mergeCell ref="AM14:AN14"/>
    <mergeCell ref="AP14:AP15"/>
    <mergeCell ref="AF13:AF15"/>
    <mergeCell ref="AG13:AG15"/>
    <mergeCell ref="O14:P14"/>
    <mergeCell ref="R14:R15"/>
  </mergeCells>
  <pageMargins left="0.196850393700787" right="0.196850393700787" top="0.44685039399999998" bottom="0.196850393700787" header="0.31496062992126" footer="0.31496062992126"/>
  <pageSetup paperSize="8" scale="22" orientation="landscape" horizontalDpi="1200" verticalDpi="12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22"/>
  <sheetViews>
    <sheetView zoomScale="70" zoomScaleNormal="70" workbookViewId="0">
      <pane xSplit="2" ySplit="9" topLeftCell="H10" activePane="bottomRight" state="frozen"/>
      <selection pane="topRight" activeCell="C1" sqref="C1"/>
      <selection pane="bottomLeft" activeCell="A9" sqref="A9"/>
      <selection pane="bottomRight" activeCell="K10" sqref="K10"/>
    </sheetView>
  </sheetViews>
  <sheetFormatPr defaultRowHeight="15"/>
  <cols>
    <col min="1" max="1" width="6.375" style="329" customWidth="1"/>
    <col min="2" max="2" width="40.375" style="329" customWidth="1"/>
    <col min="3" max="4" width="12" style="329" customWidth="1"/>
    <col min="5" max="5" width="12" style="527" customWidth="1"/>
    <col min="6" max="6" width="11.625" style="329" customWidth="1"/>
    <col min="7" max="7" width="12" style="329" customWidth="1"/>
    <col min="8" max="8" width="10.625" style="527" customWidth="1"/>
    <col min="9" max="9" width="11.625" style="329" customWidth="1"/>
    <col min="10" max="10" width="12.375" style="329" customWidth="1"/>
    <col min="11" max="11" width="10.625" style="527" customWidth="1"/>
    <col min="12" max="16384" width="9" style="329"/>
  </cols>
  <sheetData>
    <row r="1" spans="1:11" ht="31.5">
      <c r="B1" s="695" t="s">
        <v>2205</v>
      </c>
      <c r="H1" s="694"/>
      <c r="J1" s="1164" t="s">
        <v>2206</v>
      </c>
      <c r="K1" s="1164"/>
    </row>
    <row r="2" spans="1:11" ht="31.5" customHeight="1">
      <c r="A2" s="1165" t="s">
        <v>2412</v>
      </c>
      <c r="B2" s="1165"/>
      <c r="C2" s="1165"/>
      <c r="D2" s="1165"/>
      <c r="E2" s="1165"/>
      <c r="F2" s="1165"/>
      <c r="G2" s="1165"/>
      <c r="H2" s="1165"/>
      <c r="I2" s="1165"/>
      <c r="J2" s="1165"/>
      <c r="K2" s="1165"/>
    </row>
    <row r="3" spans="1:11" ht="22.5" customHeight="1">
      <c r="A3" s="1166" t="s">
        <v>2397</v>
      </c>
      <c r="B3" s="1166"/>
      <c r="C3" s="1166"/>
      <c r="D3" s="1166"/>
      <c r="E3" s="1166"/>
      <c r="F3" s="1166"/>
      <c r="G3" s="1166"/>
      <c r="H3" s="1166"/>
      <c r="I3" s="1166"/>
      <c r="J3" s="1166"/>
      <c r="K3" s="1166"/>
    </row>
    <row r="4" spans="1:11" ht="18.75" customHeight="1">
      <c r="A4" s="330"/>
      <c r="B4" s="330"/>
      <c r="C4" s="330"/>
      <c r="D4" s="330"/>
      <c r="E4" s="821"/>
      <c r="F4" s="330"/>
      <c r="H4" s="820"/>
      <c r="I4" s="330"/>
      <c r="J4" s="1167" t="s">
        <v>2</v>
      </c>
      <c r="K4" s="1167"/>
    </row>
    <row r="5" spans="1:11" ht="18.75" customHeight="1">
      <c r="A5" s="1170" t="s">
        <v>3</v>
      </c>
      <c r="B5" s="1170" t="s">
        <v>51</v>
      </c>
      <c r="C5" s="1104" t="s">
        <v>1775</v>
      </c>
      <c r="D5" s="1104"/>
      <c r="E5" s="1104"/>
      <c r="F5" s="1104" t="s">
        <v>1776</v>
      </c>
      <c r="G5" s="1104"/>
      <c r="H5" s="1104"/>
      <c r="I5" s="1104" t="s">
        <v>1777</v>
      </c>
      <c r="J5" s="1104"/>
      <c r="K5" s="1104"/>
    </row>
    <row r="6" spans="1:11" s="702" customFormat="1" ht="81.75" customHeight="1">
      <c r="A6" s="1170"/>
      <c r="B6" s="1170"/>
      <c r="C6" s="701" t="s">
        <v>2451</v>
      </c>
      <c r="D6" s="701" t="s">
        <v>2452</v>
      </c>
      <c r="E6" s="701" t="s">
        <v>52</v>
      </c>
      <c r="F6" s="701" t="s">
        <v>2451</v>
      </c>
      <c r="G6" s="701" t="s">
        <v>2452</v>
      </c>
      <c r="H6" s="701" t="s">
        <v>52</v>
      </c>
      <c r="I6" s="701" t="s">
        <v>2451</v>
      </c>
      <c r="J6" s="701" t="s">
        <v>2452</v>
      </c>
      <c r="K6" s="701" t="s">
        <v>52</v>
      </c>
    </row>
    <row r="7" spans="1:11" s="704" customFormat="1" ht="13.5">
      <c r="A7" s="703" t="s">
        <v>9</v>
      </c>
      <c r="B7" s="703" t="s">
        <v>10</v>
      </c>
      <c r="C7" s="703" t="s">
        <v>1779</v>
      </c>
      <c r="D7" s="703" t="s">
        <v>1780</v>
      </c>
      <c r="E7" s="703" t="s">
        <v>122</v>
      </c>
      <c r="F7" s="703">
        <v>4</v>
      </c>
      <c r="G7" s="703">
        <v>5</v>
      </c>
      <c r="H7" s="703" t="s">
        <v>1781</v>
      </c>
      <c r="I7" s="703">
        <v>7</v>
      </c>
      <c r="J7" s="703">
        <v>8</v>
      </c>
      <c r="K7" s="703" t="s">
        <v>1782</v>
      </c>
    </row>
    <row r="8" spans="1:11" s="702" customFormat="1" ht="24" customHeight="1">
      <c r="A8" s="1168" t="s">
        <v>154</v>
      </c>
      <c r="B8" s="1169"/>
      <c r="C8" s="705">
        <v>1042616.1779140001</v>
      </c>
      <c r="D8" s="705">
        <v>1241951.3775500003</v>
      </c>
      <c r="E8" s="706">
        <v>1.1911875183395075</v>
      </c>
      <c r="F8" s="705">
        <v>958859.59391400008</v>
      </c>
      <c r="G8" s="705">
        <v>1154586.5375840003</v>
      </c>
      <c r="H8" s="706">
        <v>1.2041247174375718</v>
      </c>
      <c r="I8" s="705">
        <v>83756.584000000003</v>
      </c>
      <c r="J8" s="705">
        <v>87364.839966</v>
      </c>
      <c r="K8" s="706">
        <v>1.0430802665734313</v>
      </c>
    </row>
    <row r="9" spans="1:11" s="702" customFormat="1" ht="20.25" customHeight="1">
      <c r="A9" s="707">
        <v>1</v>
      </c>
      <c r="B9" s="708" t="s">
        <v>203</v>
      </c>
      <c r="C9" s="709">
        <v>118504.01791400003</v>
      </c>
      <c r="D9" s="709">
        <v>115686.14866400001</v>
      </c>
      <c r="E9" s="710">
        <v>0.97622131890882402</v>
      </c>
      <c r="F9" s="709">
        <v>73199.288914000019</v>
      </c>
      <c r="G9" s="709">
        <v>71057.625914000018</v>
      </c>
      <c r="H9" s="710">
        <v>0.97074202452272196</v>
      </c>
      <c r="I9" s="709">
        <v>45304.728999999999</v>
      </c>
      <c r="J9" s="709">
        <v>44628.522749999996</v>
      </c>
      <c r="K9" s="710">
        <v>0.98507426785402463</v>
      </c>
    </row>
    <row r="10" spans="1:11" s="714" customFormat="1" ht="20.25" customHeight="1">
      <c r="A10" s="562" t="s">
        <v>96</v>
      </c>
      <c r="B10" s="711" t="s">
        <v>204</v>
      </c>
      <c r="C10" s="712">
        <v>84301.641914000022</v>
      </c>
      <c r="D10" s="712">
        <v>83150.925664000009</v>
      </c>
      <c r="E10" s="713">
        <v>0.9863500137853316</v>
      </c>
      <c r="F10" s="712">
        <v>40348.368914000021</v>
      </c>
      <c r="G10" s="712">
        <v>40348.368914000021</v>
      </c>
      <c r="H10" s="713">
        <v>1</v>
      </c>
      <c r="I10" s="712">
        <v>43953.273000000001</v>
      </c>
      <c r="J10" s="712">
        <v>42802.556749999996</v>
      </c>
      <c r="K10" s="713">
        <v>0.97381955491687722</v>
      </c>
    </row>
    <row r="11" spans="1:11" s="714" customFormat="1" ht="20.25" customHeight="1">
      <c r="A11" s="562" t="s">
        <v>98</v>
      </c>
      <c r="B11" s="711" t="s">
        <v>205</v>
      </c>
      <c r="C11" s="712">
        <v>34202.375999999997</v>
      </c>
      <c r="D11" s="712">
        <v>32535.223000000002</v>
      </c>
      <c r="E11" s="713">
        <v>0.95125622266710375</v>
      </c>
      <c r="F11" s="712">
        <v>32850.92</v>
      </c>
      <c r="G11" s="712">
        <v>30709.257000000001</v>
      </c>
      <c r="H11" s="713">
        <v>0.93480660511182045</v>
      </c>
      <c r="I11" s="712">
        <v>1351.4560000000001</v>
      </c>
      <c r="J11" s="712">
        <v>1825.9659999999999</v>
      </c>
      <c r="K11" s="713">
        <v>1.3511102100253354</v>
      </c>
    </row>
    <row r="12" spans="1:11" s="702" customFormat="1" ht="20.25" customHeight="1">
      <c r="A12" s="707">
        <v>2</v>
      </c>
      <c r="B12" s="708" t="s">
        <v>206</v>
      </c>
      <c r="C12" s="709">
        <v>2800</v>
      </c>
      <c r="D12" s="709">
        <v>2414.4824389999999</v>
      </c>
      <c r="E12" s="710">
        <v>0.86231515678571424</v>
      </c>
      <c r="F12" s="715">
        <v>2800</v>
      </c>
      <c r="G12" s="715">
        <v>2414.4824389999999</v>
      </c>
      <c r="H12" s="710">
        <v>0.86231515678571424</v>
      </c>
      <c r="I12" s="709">
        <v>0</v>
      </c>
      <c r="J12" s="709">
        <v>0</v>
      </c>
      <c r="K12" s="710"/>
    </row>
    <row r="13" spans="1:11" s="702" customFormat="1" ht="20.25" customHeight="1">
      <c r="A13" s="707">
        <v>3</v>
      </c>
      <c r="B13" s="708" t="s">
        <v>207</v>
      </c>
      <c r="C13" s="709">
        <v>677871.9</v>
      </c>
      <c r="D13" s="709">
        <v>813229.32407300023</v>
      </c>
      <c r="E13" s="710">
        <v>1.1996799455369078</v>
      </c>
      <c r="F13" s="709">
        <v>677871.9</v>
      </c>
      <c r="G13" s="709">
        <v>813229.32407300023</v>
      </c>
      <c r="H13" s="710">
        <v>1.1996799455369078</v>
      </c>
      <c r="I13" s="709">
        <v>0</v>
      </c>
      <c r="J13" s="709">
        <v>0</v>
      </c>
      <c r="K13" s="710"/>
    </row>
    <row r="14" spans="1:11" s="702" customFormat="1" ht="20.25" customHeight="1">
      <c r="A14" s="707">
        <v>4</v>
      </c>
      <c r="B14" s="708" t="s">
        <v>208</v>
      </c>
      <c r="C14" s="709">
        <v>5121.5</v>
      </c>
      <c r="D14" s="709">
        <v>5286.7754320000004</v>
      </c>
      <c r="E14" s="710">
        <v>1.032270903446256</v>
      </c>
      <c r="F14" s="709">
        <v>4534.5</v>
      </c>
      <c r="G14" s="709">
        <v>4485.634</v>
      </c>
      <c r="H14" s="710">
        <v>0.98922350865586062</v>
      </c>
      <c r="I14" s="709">
        <v>587</v>
      </c>
      <c r="J14" s="709">
        <v>801.1414319999999</v>
      </c>
      <c r="K14" s="710">
        <v>1.3648065281090287</v>
      </c>
    </row>
    <row r="15" spans="1:11" s="702" customFormat="1" ht="20.25" customHeight="1">
      <c r="A15" s="707">
        <v>5</v>
      </c>
      <c r="B15" s="708" t="s">
        <v>209</v>
      </c>
      <c r="C15" s="709">
        <v>11100</v>
      </c>
      <c r="D15" s="709">
        <v>12336</v>
      </c>
      <c r="E15" s="710">
        <v>1.1113513513513513</v>
      </c>
      <c r="F15" s="709">
        <v>11100</v>
      </c>
      <c r="G15" s="709">
        <v>12336</v>
      </c>
      <c r="H15" s="710">
        <v>1.1113513513513513</v>
      </c>
      <c r="I15" s="709">
        <v>0</v>
      </c>
      <c r="J15" s="709">
        <v>0</v>
      </c>
      <c r="K15" s="710"/>
    </row>
    <row r="16" spans="1:11" s="702" customFormat="1" ht="20.25" customHeight="1">
      <c r="A16" s="707">
        <v>6</v>
      </c>
      <c r="B16" s="708" t="s">
        <v>1771</v>
      </c>
      <c r="C16" s="709">
        <v>0</v>
      </c>
      <c r="D16" s="709">
        <v>0</v>
      </c>
      <c r="E16" s="710"/>
      <c r="F16" s="709"/>
      <c r="G16" s="709"/>
      <c r="H16" s="710"/>
      <c r="I16" s="709">
        <v>0</v>
      </c>
      <c r="J16" s="709">
        <v>0</v>
      </c>
      <c r="K16" s="710"/>
    </row>
    <row r="17" spans="1:11" s="702" customFormat="1" ht="20.25" customHeight="1">
      <c r="A17" s="707">
        <v>7</v>
      </c>
      <c r="B17" s="708" t="s">
        <v>1772</v>
      </c>
      <c r="C17" s="709">
        <v>7797</v>
      </c>
      <c r="D17" s="709">
        <v>7797</v>
      </c>
      <c r="E17" s="710">
        <v>1</v>
      </c>
      <c r="F17" s="709">
        <v>7797</v>
      </c>
      <c r="G17" s="709">
        <v>7797</v>
      </c>
      <c r="H17" s="710">
        <v>1</v>
      </c>
      <c r="I17" s="709">
        <v>0</v>
      </c>
      <c r="J17" s="709">
        <v>0</v>
      </c>
      <c r="K17" s="710"/>
    </row>
    <row r="18" spans="1:11" s="702" customFormat="1" ht="20.25" customHeight="1">
      <c r="A18" s="707">
        <v>8</v>
      </c>
      <c r="B18" s="708" t="s">
        <v>1773</v>
      </c>
      <c r="C18" s="709">
        <v>504</v>
      </c>
      <c r="D18" s="709">
        <v>861.95826299999999</v>
      </c>
      <c r="E18" s="710">
        <v>1.7102346488095237</v>
      </c>
      <c r="F18" s="709">
        <v>504</v>
      </c>
      <c r="G18" s="709">
        <v>861.95826299999999</v>
      </c>
      <c r="H18" s="710">
        <v>1.7102346488095237</v>
      </c>
      <c r="I18" s="709">
        <v>0</v>
      </c>
      <c r="J18" s="709">
        <v>0</v>
      </c>
      <c r="K18" s="710"/>
    </row>
    <row r="19" spans="1:11" s="702" customFormat="1" ht="20.25" customHeight="1">
      <c r="A19" s="707">
        <v>9</v>
      </c>
      <c r="B19" s="708" t="s">
        <v>1498</v>
      </c>
      <c r="C19" s="709">
        <v>122990.905</v>
      </c>
      <c r="D19" s="709">
        <v>168051.27989500001</v>
      </c>
      <c r="E19" s="710">
        <v>1.3663716019895944</v>
      </c>
      <c r="F19" s="709">
        <v>122990.905</v>
      </c>
      <c r="G19" s="709">
        <v>168051.27989500001</v>
      </c>
      <c r="H19" s="710">
        <v>1.3663716019895944</v>
      </c>
      <c r="I19" s="709">
        <v>0</v>
      </c>
      <c r="J19" s="709">
        <v>0</v>
      </c>
      <c r="K19" s="710"/>
    </row>
    <row r="20" spans="1:11" s="702" customFormat="1" ht="20.25" customHeight="1">
      <c r="A20" s="707">
        <v>10</v>
      </c>
      <c r="B20" s="708" t="s">
        <v>1347</v>
      </c>
      <c r="C20" s="709">
        <v>66331.600000000006</v>
      </c>
      <c r="D20" s="709">
        <v>87345.967611999993</v>
      </c>
      <c r="E20" s="710">
        <v>1.3168077901332094</v>
      </c>
      <c r="F20" s="709">
        <v>39500</v>
      </c>
      <c r="G20" s="709">
        <v>57205.232999999993</v>
      </c>
      <c r="H20" s="710">
        <v>1.4482337468354429</v>
      </c>
      <c r="I20" s="709">
        <v>26831.599999999999</v>
      </c>
      <c r="J20" s="709">
        <v>30140.734612</v>
      </c>
      <c r="K20" s="710">
        <v>1.1233297534250661</v>
      </c>
    </row>
    <row r="21" spans="1:11" s="702" customFormat="1" ht="20.25" customHeight="1">
      <c r="A21" s="707">
        <v>11</v>
      </c>
      <c r="B21" s="716" t="s">
        <v>1766</v>
      </c>
      <c r="C21" s="709">
        <v>29495.254999999997</v>
      </c>
      <c r="D21" s="709">
        <v>28731.239172000001</v>
      </c>
      <c r="E21" s="710">
        <v>0.97409699193989008</v>
      </c>
      <c r="F21" s="709">
        <v>18562</v>
      </c>
      <c r="G21" s="709">
        <v>17148</v>
      </c>
      <c r="H21" s="710">
        <v>0.92382286391552637</v>
      </c>
      <c r="I21" s="709">
        <v>10933.254999999999</v>
      </c>
      <c r="J21" s="709">
        <v>11583.239172</v>
      </c>
      <c r="K21" s="710">
        <v>1.0594501977681852</v>
      </c>
    </row>
    <row r="22" spans="1:11" ht="22.5" customHeight="1">
      <c r="A22" s="530">
        <v>12</v>
      </c>
      <c r="B22" s="531" t="s">
        <v>1778</v>
      </c>
      <c r="C22" s="709">
        <v>100</v>
      </c>
      <c r="D22" s="709">
        <v>211.202</v>
      </c>
      <c r="E22" s="710">
        <v>2.1120199999999998</v>
      </c>
      <c r="F22" s="531"/>
      <c r="G22" s="531"/>
      <c r="H22" s="530"/>
      <c r="I22" s="709">
        <v>100</v>
      </c>
      <c r="J22" s="709">
        <v>211.202</v>
      </c>
      <c r="K22" s="710">
        <v>2.1120199999999998</v>
      </c>
    </row>
  </sheetData>
  <mergeCells count="10">
    <mergeCell ref="J1:K1"/>
    <mergeCell ref="A2:K2"/>
    <mergeCell ref="A3:K3"/>
    <mergeCell ref="J4:K4"/>
    <mergeCell ref="A8:B8"/>
    <mergeCell ref="A5:A6"/>
    <mergeCell ref="B5:B6"/>
    <mergeCell ref="C5:E5"/>
    <mergeCell ref="F5:H5"/>
    <mergeCell ref="I5:K5"/>
  </mergeCells>
  <pageMargins left="0.511811023622047" right="0.196850393700787" top="0.57999999999999996" bottom="0.196850393700787" header="0.196850393700787" footer="0.31496062992126"/>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16"/>
  <sheetViews>
    <sheetView workbookViewId="0">
      <selection activeCell="G26" sqref="G26"/>
    </sheetView>
  </sheetViews>
  <sheetFormatPr defaultColWidth="9.125" defaultRowHeight="14.25"/>
  <cols>
    <col min="1" max="1" width="9.875" style="525" customWidth="1"/>
    <col min="2" max="2" width="35.625" style="525" customWidth="1"/>
    <col min="3" max="3" width="15" style="525" customWidth="1"/>
    <col min="4" max="4" width="15.25" style="525" customWidth="1"/>
    <col min="5" max="7" width="16.75" style="525" customWidth="1"/>
    <col min="8" max="9" width="12.75" style="525" customWidth="1"/>
    <col min="10" max="16384" width="9.125" style="525"/>
  </cols>
  <sheetData>
    <row r="2" spans="1:9" s="558" customFormat="1" ht="27" customHeight="1">
      <c r="A2" s="1171" t="s">
        <v>2411</v>
      </c>
      <c r="B2" s="1171"/>
      <c r="C2" s="1171"/>
      <c r="D2" s="1171"/>
      <c r="E2" s="1171"/>
      <c r="F2" s="1171"/>
      <c r="G2" s="1171"/>
      <c r="H2" s="1041"/>
      <c r="I2" s="1041"/>
    </row>
    <row r="3" spans="1:9" s="558" customFormat="1" ht="27" customHeight="1">
      <c r="A3" s="1176" t="s">
        <v>2397</v>
      </c>
      <c r="B3" s="1176"/>
      <c r="C3" s="1176"/>
      <c r="D3" s="1176"/>
      <c r="E3" s="1176"/>
      <c r="F3" s="1176"/>
      <c r="G3" s="1176"/>
      <c r="H3" s="1040"/>
      <c r="I3" s="1040"/>
    </row>
    <row r="4" spans="1:9" s="558" customFormat="1" ht="12" customHeight="1">
      <c r="A4" s="559"/>
      <c r="B4" s="559"/>
      <c r="C4" s="559"/>
      <c r="D4" s="559"/>
      <c r="E4" s="559"/>
      <c r="F4" s="754"/>
      <c r="G4" s="754"/>
      <c r="H4" s="559"/>
      <c r="I4" s="559"/>
    </row>
    <row r="5" spans="1:9" ht="15">
      <c r="A5" s="541"/>
      <c r="B5" s="541"/>
      <c r="C5" s="541"/>
      <c r="D5" s="541"/>
      <c r="E5" s="541"/>
      <c r="F5" s="1172" t="s">
        <v>1861</v>
      </c>
      <c r="G5" s="1172"/>
    </row>
    <row r="6" spans="1:9" ht="18.75" customHeight="1">
      <c r="A6" s="1173" t="s">
        <v>3</v>
      </c>
      <c r="B6" s="1173" t="s">
        <v>1887</v>
      </c>
      <c r="C6" s="1173" t="s">
        <v>1888</v>
      </c>
      <c r="D6" s="1173" t="s">
        <v>1889</v>
      </c>
      <c r="E6" s="1173" t="s">
        <v>1860</v>
      </c>
      <c r="F6" s="1175" t="s">
        <v>1890</v>
      </c>
      <c r="G6" s="1175"/>
    </row>
    <row r="7" spans="1:9">
      <c r="A7" s="1174"/>
      <c r="B7" s="1174"/>
      <c r="C7" s="1174"/>
      <c r="D7" s="1174"/>
      <c r="E7" s="1174"/>
      <c r="F7" s="822" t="s">
        <v>1891</v>
      </c>
      <c r="G7" s="822" t="s">
        <v>1892</v>
      </c>
    </row>
    <row r="8" spans="1:9">
      <c r="A8" s="542" t="s">
        <v>9</v>
      </c>
      <c r="B8" s="542" t="s">
        <v>10</v>
      </c>
      <c r="C8" s="542">
        <v>1</v>
      </c>
      <c r="D8" s="542">
        <v>2</v>
      </c>
      <c r="E8" s="542">
        <v>3</v>
      </c>
      <c r="F8" s="542" t="s">
        <v>1893</v>
      </c>
      <c r="G8" s="542" t="s">
        <v>1894</v>
      </c>
    </row>
    <row r="9" spans="1:9" ht="26.25" customHeight="1">
      <c r="A9" s="543">
        <v>1</v>
      </c>
      <c r="B9" s="544" t="s">
        <v>1895</v>
      </c>
      <c r="C9" s="545"/>
      <c r="D9" s="545">
        <v>180012</v>
      </c>
      <c r="E9" s="545">
        <v>133647.98618880002</v>
      </c>
      <c r="F9" s="546"/>
      <c r="G9" s="546">
        <v>0.74243931620558634</v>
      </c>
    </row>
    <row r="10" spans="1:9" ht="26.25" customHeight="1">
      <c r="A10" s="543">
        <v>2</v>
      </c>
      <c r="B10" s="544" t="s">
        <v>1896</v>
      </c>
      <c r="C10" s="545">
        <v>86100</v>
      </c>
      <c r="D10" s="545">
        <v>86100</v>
      </c>
      <c r="E10" s="545">
        <v>66894.733024000001</v>
      </c>
      <c r="F10" s="546">
        <v>0.77694231154471549</v>
      </c>
      <c r="G10" s="546">
        <v>0.77694231154471549</v>
      </c>
    </row>
    <row r="11" spans="1:9" ht="26.25" customHeight="1">
      <c r="A11" s="543">
        <v>3</v>
      </c>
      <c r="B11" s="544" t="s">
        <v>1897</v>
      </c>
      <c r="C11" s="545">
        <v>13400</v>
      </c>
      <c r="D11" s="545">
        <v>13400</v>
      </c>
      <c r="E11" s="545">
        <v>13907.298999999999</v>
      </c>
      <c r="F11" s="546">
        <v>1.0378581343283582</v>
      </c>
      <c r="G11" s="546">
        <v>1.0378581343283582</v>
      </c>
    </row>
    <row r="12" spans="1:9" ht="26.25" customHeight="1">
      <c r="A12" s="543" t="s">
        <v>1898</v>
      </c>
      <c r="B12" s="544" t="s">
        <v>1899</v>
      </c>
      <c r="C12" s="545"/>
      <c r="D12" s="545">
        <v>252712</v>
      </c>
      <c r="E12" s="545">
        <v>186635.42021280003</v>
      </c>
      <c r="F12" s="546"/>
      <c r="G12" s="546">
        <v>0.73853010625850779</v>
      </c>
    </row>
    <row r="14" spans="1:9" ht="15" hidden="1">
      <c r="G14" s="757" t="e">
        <v>#REF!</v>
      </c>
    </row>
    <row r="15" spans="1:9" hidden="1">
      <c r="G15" s="758" t="e">
        <v>#REF!</v>
      </c>
    </row>
    <row r="16" spans="1:9" hidden="1"/>
  </sheetData>
  <mergeCells count="9">
    <mergeCell ref="A2:G2"/>
    <mergeCell ref="F5:G5"/>
    <mergeCell ref="A6:A7"/>
    <mergeCell ref="B6:B7"/>
    <mergeCell ref="C6:C7"/>
    <mergeCell ref="D6:D7"/>
    <mergeCell ref="E6:E7"/>
    <mergeCell ref="F6:G6"/>
    <mergeCell ref="A3:G3"/>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1"/>
  <sheetViews>
    <sheetView tabSelected="1" view="pageBreakPreview" zoomScale="60" zoomScaleNormal="100" workbookViewId="0">
      <selection activeCell="H19" sqref="H19"/>
    </sheetView>
  </sheetViews>
  <sheetFormatPr defaultColWidth="9.125" defaultRowHeight="16.5"/>
  <cols>
    <col min="1" max="1" width="5.375" style="717" customWidth="1"/>
    <col min="2" max="2" width="48.75" style="717" customWidth="1"/>
    <col min="3" max="3" width="14.25" style="717" hidden="1" customWidth="1"/>
    <col min="4" max="4" width="17" style="717" customWidth="1"/>
    <col min="5" max="5" width="21" style="717" customWidth="1"/>
    <col min="6" max="6" width="20.875" style="717" customWidth="1"/>
    <col min="7" max="7" width="15.625" style="717" customWidth="1"/>
    <col min="8" max="8" width="14.625" style="717" customWidth="1"/>
    <col min="9" max="9" width="14.875" style="717" customWidth="1"/>
    <col min="10" max="11" width="12.25" style="717" customWidth="1"/>
    <col min="12" max="12" width="15.25" style="717" customWidth="1"/>
    <col min="13" max="13" width="17.25" style="717" customWidth="1"/>
    <col min="14" max="14" width="18.625" style="717" customWidth="1"/>
    <col min="15" max="16384" width="9.125" style="717"/>
  </cols>
  <sheetData>
    <row r="1" spans="1:256" ht="16.5" customHeight="1">
      <c r="A1" s="560"/>
      <c r="B1" s="560"/>
      <c r="C1" s="653"/>
      <c r="D1" s="653"/>
      <c r="E1" s="653"/>
      <c r="F1" s="653"/>
      <c r="G1" s="653"/>
      <c r="H1" s="618"/>
      <c r="I1" s="1179" t="s">
        <v>2453</v>
      </c>
      <c r="J1" s="1179"/>
      <c r="K1" s="1179"/>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c r="AW1" s="560"/>
      <c r="AX1" s="560"/>
      <c r="AY1" s="560"/>
      <c r="AZ1" s="560"/>
      <c r="BA1" s="560"/>
      <c r="BB1" s="560"/>
      <c r="BC1" s="560"/>
      <c r="BD1" s="560"/>
      <c r="BE1" s="560"/>
      <c r="BF1" s="560"/>
      <c r="BG1" s="560"/>
      <c r="BH1" s="560"/>
      <c r="BI1" s="560"/>
      <c r="BJ1" s="560"/>
      <c r="BK1" s="560"/>
      <c r="BL1" s="560"/>
      <c r="BM1" s="560"/>
      <c r="BN1" s="560"/>
      <c r="BO1" s="560"/>
      <c r="BP1" s="560"/>
      <c r="BQ1" s="560"/>
      <c r="BR1" s="560"/>
      <c r="BS1" s="560"/>
      <c r="BT1" s="560"/>
      <c r="BU1" s="560"/>
      <c r="BV1" s="560"/>
      <c r="BW1" s="560"/>
      <c r="BX1" s="560"/>
      <c r="BY1" s="560"/>
      <c r="BZ1" s="560"/>
      <c r="CA1" s="560"/>
      <c r="CB1" s="560"/>
      <c r="CC1" s="560"/>
      <c r="CD1" s="560"/>
      <c r="CE1" s="560"/>
      <c r="CF1" s="560"/>
      <c r="CG1" s="560"/>
      <c r="CH1" s="560"/>
      <c r="CI1" s="560"/>
      <c r="CJ1" s="560"/>
      <c r="CK1" s="560"/>
      <c r="CL1" s="560"/>
      <c r="CM1" s="560"/>
      <c r="CN1" s="560"/>
      <c r="CO1" s="560"/>
      <c r="CP1" s="560"/>
      <c r="CQ1" s="560"/>
      <c r="CR1" s="560"/>
      <c r="CS1" s="560"/>
      <c r="CT1" s="560"/>
      <c r="CU1" s="560"/>
      <c r="CV1" s="560"/>
      <c r="CW1" s="560"/>
      <c r="CX1" s="560"/>
      <c r="CY1" s="560"/>
      <c r="CZ1" s="560"/>
      <c r="DA1" s="560"/>
      <c r="DB1" s="560"/>
      <c r="DC1" s="560"/>
      <c r="DD1" s="560"/>
      <c r="DE1" s="560"/>
      <c r="DF1" s="560"/>
      <c r="DG1" s="560"/>
      <c r="DH1" s="560"/>
      <c r="DI1" s="560"/>
      <c r="DJ1" s="560"/>
      <c r="DK1" s="560"/>
      <c r="DL1" s="560"/>
      <c r="DM1" s="560"/>
      <c r="DN1" s="560"/>
      <c r="DO1" s="560"/>
      <c r="DP1" s="560"/>
      <c r="DQ1" s="560"/>
      <c r="DR1" s="560"/>
      <c r="DS1" s="560"/>
      <c r="DT1" s="560"/>
      <c r="DU1" s="560"/>
      <c r="DV1" s="560"/>
      <c r="DW1" s="560"/>
      <c r="DX1" s="560"/>
      <c r="DY1" s="560"/>
      <c r="DZ1" s="560"/>
      <c r="EA1" s="560"/>
      <c r="EB1" s="560"/>
      <c r="EC1" s="560"/>
      <c r="ED1" s="560"/>
      <c r="EE1" s="560"/>
      <c r="EF1" s="560"/>
      <c r="EG1" s="560"/>
      <c r="EH1" s="560"/>
      <c r="EI1" s="560"/>
      <c r="EJ1" s="560"/>
      <c r="EK1" s="560"/>
      <c r="EL1" s="560"/>
      <c r="EM1" s="560"/>
      <c r="EN1" s="560"/>
      <c r="EO1" s="560"/>
      <c r="EP1" s="560"/>
      <c r="EQ1" s="560"/>
      <c r="ER1" s="560"/>
      <c r="ES1" s="560"/>
      <c r="ET1" s="560"/>
      <c r="EU1" s="560"/>
      <c r="EV1" s="560"/>
      <c r="EW1" s="560"/>
      <c r="EX1" s="560"/>
      <c r="EY1" s="560"/>
      <c r="EZ1" s="560"/>
      <c r="FA1" s="560"/>
      <c r="FB1" s="560"/>
      <c r="FC1" s="560"/>
      <c r="FD1" s="560"/>
      <c r="FE1" s="560"/>
      <c r="FF1" s="560"/>
      <c r="FG1" s="560"/>
      <c r="FH1" s="560"/>
      <c r="FI1" s="560"/>
      <c r="FJ1" s="560"/>
      <c r="FK1" s="560"/>
      <c r="FL1" s="560"/>
      <c r="FM1" s="560"/>
      <c r="FN1" s="560"/>
      <c r="FO1" s="560"/>
      <c r="FP1" s="560"/>
      <c r="FQ1" s="560"/>
      <c r="FR1" s="560"/>
      <c r="FS1" s="560"/>
      <c r="FT1" s="560"/>
      <c r="FU1" s="560"/>
      <c r="FV1" s="560"/>
      <c r="FW1" s="560"/>
      <c r="FX1" s="560"/>
      <c r="FY1" s="560"/>
      <c r="FZ1" s="560"/>
      <c r="GA1" s="560"/>
      <c r="GB1" s="560"/>
      <c r="GC1" s="560"/>
      <c r="GD1" s="560"/>
      <c r="GE1" s="560"/>
      <c r="GF1" s="560"/>
      <c r="GG1" s="560"/>
      <c r="GH1" s="560"/>
      <c r="GI1" s="560"/>
      <c r="GJ1" s="560"/>
      <c r="GK1" s="560"/>
      <c r="GL1" s="560"/>
      <c r="GM1" s="560"/>
      <c r="GN1" s="560"/>
      <c r="GO1" s="560"/>
      <c r="GP1" s="560"/>
      <c r="GQ1" s="560"/>
      <c r="GR1" s="560"/>
      <c r="GS1" s="560"/>
      <c r="GT1" s="560"/>
      <c r="GU1" s="560"/>
      <c r="GV1" s="560"/>
      <c r="GW1" s="560"/>
      <c r="GX1" s="560"/>
      <c r="GY1" s="560"/>
      <c r="GZ1" s="560"/>
      <c r="HA1" s="560"/>
      <c r="HB1" s="560"/>
      <c r="HC1" s="560"/>
      <c r="HD1" s="560"/>
      <c r="HE1" s="560"/>
      <c r="HF1" s="560"/>
      <c r="HG1" s="560"/>
      <c r="HH1" s="560"/>
      <c r="HI1" s="560"/>
      <c r="HJ1" s="560"/>
      <c r="HK1" s="560"/>
      <c r="HL1" s="560"/>
      <c r="HM1" s="560"/>
      <c r="HN1" s="560"/>
      <c r="HO1" s="560"/>
      <c r="HP1" s="560"/>
      <c r="HQ1" s="560"/>
      <c r="HR1" s="560"/>
      <c r="HS1" s="560"/>
      <c r="HT1" s="560"/>
      <c r="HU1" s="560"/>
      <c r="HV1" s="560"/>
      <c r="HW1" s="560"/>
      <c r="HX1" s="560"/>
      <c r="HY1" s="560"/>
      <c r="HZ1" s="560"/>
      <c r="IA1" s="560"/>
      <c r="IB1" s="560"/>
      <c r="IC1" s="560"/>
      <c r="ID1" s="560"/>
      <c r="IE1" s="560"/>
      <c r="IF1" s="560"/>
      <c r="IG1" s="560"/>
      <c r="IH1" s="560"/>
      <c r="II1" s="560"/>
      <c r="IJ1" s="560"/>
      <c r="IK1" s="560"/>
      <c r="IL1" s="560"/>
      <c r="IM1" s="560"/>
      <c r="IN1" s="560"/>
      <c r="IO1" s="560"/>
      <c r="IP1" s="560"/>
      <c r="IQ1" s="560"/>
      <c r="IR1" s="560"/>
      <c r="IS1" s="560"/>
      <c r="IT1" s="560"/>
      <c r="IU1" s="560"/>
      <c r="IV1" s="560"/>
    </row>
    <row r="2" spans="1:256" ht="31.5">
      <c r="A2" s="560"/>
      <c r="B2" s="1035" t="s">
        <v>2393</v>
      </c>
      <c r="C2" s="653"/>
      <c r="D2" s="653"/>
      <c r="E2" s="653"/>
      <c r="F2" s="653"/>
      <c r="G2" s="653"/>
      <c r="H2" s="618"/>
      <c r="I2" s="1180" t="s">
        <v>2454</v>
      </c>
      <c r="J2" s="1180"/>
      <c r="K2" s="118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c r="AW2" s="560"/>
      <c r="AX2" s="560"/>
      <c r="AY2" s="560"/>
      <c r="AZ2" s="560"/>
      <c r="BA2" s="560"/>
      <c r="BB2" s="560"/>
      <c r="BC2" s="560"/>
      <c r="BD2" s="560"/>
      <c r="BE2" s="560"/>
      <c r="BF2" s="560"/>
      <c r="BG2" s="560"/>
      <c r="BH2" s="560"/>
      <c r="BI2" s="560"/>
      <c r="BJ2" s="560"/>
      <c r="BK2" s="560"/>
      <c r="BL2" s="560"/>
      <c r="BM2" s="560"/>
      <c r="BN2" s="560"/>
      <c r="BO2" s="560"/>
      <c r="BP2" s="560"/>
      <c r="BQ2" s="560"/>
      <c r="BR2" s="560"/>
      <c r="BS2" s="560"/>
      <c r="BT2" s="560"/>
      <c r="BU2" s="560"/>
      <c r="BV2" s="560"/>
      <c r="BW2" s="560"/>
      <c r="BX2" s="560"/>
      <c r="BY2" s="560"/>
      <c r="BZ2" s="560"/>
      <c r="CA2" s="560"/>
      <c r="CB2" s="560"/>
      <c r="CC2" s="560"/>
      <c r="CD2" s="560"/>
      <c r="CE2" s="560"/>
      <c r="CF2" s="560"/>
      <c r="CG2" s="560"/>
      <c r="CH2" s="560"/>
      <c r="CI2" s="560"/>
      <c r="CJ2" s="560"/>
      <c r="CK2" s="560"/>
      <c r="CL2" s="560"/>
      <c r="CM2" s="560"/>
      <c r="CN2" s="560"/>
      <c r="CO2" s="560"/>
      <c r="CP2" s="560"/>
      <c r="CQ2" s="560"/>
      <c r="CR2" s="560"/>
      <c r="CS2" s="560"/>
      <c r="CT2" s="560"/>
      <c r="CU2" s="560"/>
      <c r="CV2" s="560"/>
      <c r="CW2" s="560"/>
      <c r="CX2" s="560"/>
      <c r="CY2" s="560"/>
      <c r="CZ2" s="560"/>
      <c r="DA2" s="560"/>
      <c r="DB2" s="560"/>
      <c r="DC2" s="560"/>
      <c r="DD2" s="560"/>
      <c r="DE2" s="560"/>
      <c r="DF2" s="560"/>
      <c r="DG2" s="560"/>
      <c r="DH2" s="560"/>
      <c r="DI2" s="560"/>
      <c r="DJ2" s="560"/>
      <c r="DK2" s="560"/>
      <c r="DL2" s="560"/>
      <c r="DM2" s="560"/>
      <c r="DN2" s="560"/>
      <c r="DO2" s="560"/>
      <c r="DP2" s="560"/>
      <c r="DQ2" s="560"/>
      <c r="DR2" s="560"/>
      <c r="DS2" s="560"/>
      <c r="DT2" s="560"/>
      <c r="DU2" s="560"/>
      <c r="DV2" s="560"/>
      <c r="DW2" s="560"/>
      <c r="DX2" s="560"/>
      <c r="DY2" s="560"/>
      <c r="DZ2" s="560"/>
      <c r="EA2" s="560"/>
      <c r="EB2" s="560"/>
      <c r="EC2" s="560"/>
      <c r="ED2" s="560"/>
      <c r="EE2" s="560"/>
      <c r="EF2" s="560"/>
      <c r="EG2" s="560"/>
      <c r="EH2" s="560"/>
      <c r="EI2" s="560"/>
      <c r="EJ2" s="560"/>
      <c r="EK2" s="560"/>
      <c r="EL2" s="560"/>
      <c r="EM2" s="560"/>
      <c r="EN2" s="560"/>
      <c r="EO2" s="560"/>
      <c r="EP2" s="560"/>
      <c r="EQ2" s="560"/>
      <c r="ER2" s="560"/>
      <c r="ES2" s="560"/>
      <c r="ET2" s="560"/>
      <c r="EU2" s="560"/>
      <c r="EV2" s="560"/>
      <c r="EW2" s="560"/>
      <c r="EX2" s="560"/>
      <c r="EY2" s="560"/>
      <c r="EZ2" s="560"/>
      <c r="FA2" s="560"/>
      <c r="FB2" s="560"/>
      <c r="FC2" s="560"/>
      <c r="FD2" s="560"/>
      <c r="FE2" s="560"/>
      <c r="FF2" s="560"/>
      <c r="FG2" s="560"/>
      <c r="FH2" s="560"/>
      <c r="FI2" s="560"/>
      <c r="FJ2" s="560"/>
      <c r="FK2" s="560"/>
      <c r="FL2" s="560"/>
      <c r="FM2" s="560"/>
      <c r="FN2" s="560"/>
      <c r="FO2" s="560"/>
      <c r="FP2" s="560"/>
      <c r="FQ2" s="560"/>
      <c r="FR2" s="560"/>
      <c r="FS2" s="560"/>
      <c r="FT2" s="560"/>
      <c r="FU2" s="560"/>
      <c r="FV2" s="560"/>
      <c r="FW2" s="560"/>
      <c r="FX2" s="560"/>
      <c r="FY2" s="560"/>
      <c r="FZ2" s="560"/>
      <c r="GA2" s="560"/>
      <c r="GB2" s="560"/>
      <c r="GC2" s="560"/>
      <c r="GD2" s="560"/>
      <c r="GE2" s="560"/>
      <c r="GF2" s="560"/>
      <c r="GG2" s="560"/>
      <c r="GH2" s="560"/>
      <c r="GI2" s="560"/>
      <c r="GJ2" s="560"/>
      <c r="GK2" s="560"/>
      <c r="GL2" s="560"/>
      <c r="GM2" s="560"/>
      <c r="GN2" s="560"/>
      <c r="GO2" s="560"/>
      <c r="GP2" s="560"/>
      <c r="GQ2" s="560"/>
      <c r="GR2" s="560"/>
      <c r="GS2" s="560"/>
      <c r="GT2" s="560"/>
      <c r="GU2" s="560"/>
      <c r="GV2" s="560"/>
      <c r="GW2" s="560"/>
      <c r="GX2" s="560"/>
      <c r="GY2" s="560"/>
      <c r="GZ2" s="560"/>
      <c r="HA2" s="560"/>
      <c r="HB2" s="560"/>
      <c r="HC2" s="560"/>
      <c r="HD2" s="560"/>
      <c r="HE2" s="560"/>
      <c r="HF2" s="560"/>
      <c r="HG2" s="560"/>
      <c r="HH2" s="560"/>
      <c r="HI2" s="560"/>
      <c r="HJ2" s="560"/>
      <c r="HK2" s="560"/>
      <c r="HL2" s="560"/>
      <c r="HM2" s="560"/>
      <c r="HN2" s="560"/>
      <c r="HO2" s="560"/>
      <c r="HP2" s="560"/>
      <c r="HQ2" s="560"/>
      <c r="HR2" s="560"/>
      <c r="HS2" s="560"/>
      <c r="HT2" s="560"/>
      <c r="HU2" s="560"/>
      <c r="HV2" s="560"/>
      <c r="HW2" s="560"/>
      <c r="HX2" s="560"/>
      <c r="HY2" s="560"/>
      <c r="HZ2" s="560"/>
      <c r="IA2" s="560"/>
      <c r="IB2" s="560"/>
      <c r="IC2" s="560"/>
      <c r="ID2" s="560"/>
      <c r="IE2" s="560"/>
      <c r="IF2" s="560"/>
      <c r="IG2" s="560"/>
      <c r="IH2" s="560"/>
      <c r="II2" s="560"/>
      <c r="IJ2" s="560"/>
      <c r="IK2" s="560"/>
      <c r="IL2" s="560"/>
      <c r="IM2" s="560"/>
      <c r="IN2" s="560"/>
      <c r="IO2" s="560"/>
      <c r="IP2" s="560"/>
      <c r="IQ2" s="560"/>
      <c r="IR2" s="560"/>
      <c r="IS2" s="560"/>
      <c r="IT2" s="560"/>
      <c r="IU2" s="560"/>
      <c r="IV2" s="560"/>
    </row>
    <row r="3" spans="1:256" ht="16.5" hidden="1" customHeight="1">
      <c r="A3" s="560"/>
      <c r="B3" s="1037"/>
      <c r="C3" s="653"/>
      <c r="D3" s="653"/>
      <c r="E3" s="653"/>
      <c r="F3" s="653"/>
      <c r="G3" s="653"/>
      <c r="H3" s="618"/>
      <c r="I3" s="618"/>
      <c r="J3" s="1038"/>
      <c r="K3" s="1036"/>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0"/>
      <c r="HN3" s="560"/>
      <c r="HO3" s="560"/>
      <c r="HP3" s="560"/>
      <c r="HQ3" s="560"/>
      <c r="HR3" s="560"/>
      <c r="HS3" s="560"/>
      <c r="HT3" s="560"/>
      <c r="HU3" s="560"/>
      <c r="HV3" s="560"/>
      <c r="HW3" s="560"/>
      <c r="HX3" s="560"/>
      <c r="HY3" s="560"/>
      <c r="HZ3" s="560"/>
      <c r="IA3" s="560"/>
      <c r="IB3" s="560"/>
      <c r="IC3" s="560"/>
      <c r="ID3" s="560"/>
      <c r="IE3" s="560"/>
      <c r="IF3" s="560"/>
      <c r="IG3" s="560"/>
      <c r="IH3" s="560"/>
      <c r="II3" s="560"/>
      <c r="IJ3" s="560"/>
      <c r="IK3" s="560"/>
      <c r="IL3" s="560"/>
      <c r="IM3" s="560"/>
      <c r="IN3" s="560"/>
      <c r="IO3" s="560"/>
      <c r="IP3" s="560"/>
      <c r="IQ3" s="560"/>
      <c r="IR3" s="560"/>
      <c r="IS3" s="560"/>
      <c r="IT3" s="560"/>
      <c r="IU3" s="560"/>
      <c r="IV3" s="560"/>
    </row>
    <row r="4" spans="1:256">
      <c r="A4" s="1181" t="s">
        <v>2455</v>
      </c>
      <c r="B4" s="1181"/>
      <c r="C4" s="1181"/>
      <c r="D4" s="1181"/>
      <c r="E4" s="1181"/>
      <c r="F4" s="1181"/>
      <c r="G4" s="1181"/>
      <c r="H4" s="1181"/>
      <c r="I4" s="1181"/>
      <c r="J4" s="1181"/>
      <c r="K4" s="1181"/>
      <c r="L4" s="1181"/>
      <c r="M4" s="1181"/>
    </row>
    <row r="5" spans="1:256" ht="16.5" customHeight="1">
      <c r="A5" s="1182"/>
      <c r="B5" s="1182"/>
      <c r="C5" s="1182"/>
      <c r="D5" s="1182"/>
      <c r="E5" s="1182"/>
      <c r="F5" s="1182"/>
      <c r="G5" s="1182"/>
      <c r="H5" s="1182"/>
      <c r="I5" s="1182"/>
      <c r="J5" s="1182"/>
      <c r="K5" s="1182"/>
      <c r="L5" s="1182"/>
      <c r="M5" s="1182"/>
    </row>
    <row r="6" spans="1:256">
      <c r="L6" s="1183" t="s">
        <v>2</v>
      </c>
      <c r="M6" s="1184"/>
    </row>
    <row r="7" spans="1:256">
      <c r="A7" s="1178" t="s">
        <v>2207</v>
      </c>
      <c r="B7" s="1178" t="s">
        <v>51</v>
      </c>
      <c r="C7" s="718"/>
      <c r="D7" s="1178" t="s">
        <v>2208</v>
      </c>
      <c r="E7" s="1178" t="s">
        <v>2209</v>
      </c>
      <c r="F7" s="1178"/>
      <c r="G7" s="1178"/>
      <c r="H7" s="1178" t="s">
        <v>2210</v>
      </c>
      <c r="I7" s="1178"/>
      <c r="J7" s="1178"/>
      <c r="K7" s="1178"/>
      <c r="L7" s="1178"/>
      <c r="M7" s="1178" t="s">
        <v>2211</v>
      </c>
      <c r="N7" s="1178"/>
    </row>
    <row r="8" spans="1:256" ht="63" customHeight="1">
      <c r="A8" s="1178"/>
      <c r="B8" s="1178"/>
      <c r="C8" s="718"/>
      <c r="D8" s="1178"/>
      <c r="E8" s="718" t="s">
        <v>2212</v>
      </c>
      <c r="F8" s="718" t="s">
        <v>2456</v>
      </c>
      <c r="G8" s="718" t="s">
        <v>2214</v>
      </c>
      <c r="H8" s="718" t="s">
        <v>2215</v>
      </c>
      <c r="I8" s="609" t="s">
        <v>2216</v>
      </c>
      <c r="J8" s="609" t="s">
        <v>2394</v>
      </c>
      <c r="K8" s="609" t="s">
        <v>2395</v>
      </c>
      <c r="L8" s="718" t="s">
        <v>1150</v>
      </c>
      <c r="M8" s="718" t="s">
        <v>2213</v>
      </c>
      <c r="N8" s="718" t="s">
        <v>2217</v>
      </c>
    </row>
    <row r="9" spans="1:256">
      <c r="A9" s="719" t="s">
        <v>9</v>
      </c>
      <c r="B9" s="719" t="s">
        <v>10</v>
      </c>
      <c r="C9" s="719"/>
      <c r="D9" s="719">
        <v>1</v>
      </c>
      <c r="E9" s="719">
        <v>2</v>
      </c>
      <c r="F9" s="719"/>
      <c r="G9" s="719">
        <v>4</v>
      </c>
      <c r="H9" s="719">
        <v>5</v>
      </c>
      <c r="I9" s="719">
        <v>6</v>
      </c>
      <c r="J9" s="719"/>
      <c r="K9" s="719"/>
      <c r="L9" s="719">
        <v>7</v>
      </c>
      <c r="M9" s="719" t="s">
        <v>2218</v>
      </c>
      <c r="N9" s="719" t="s">
        <v>2219</v>
      </c>
      <c r="O9" s="720"/>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720"/>
      <c r="BA9" s="720"/>
      <c r="BB9" s="720"/>
      <c r="BC9" s="720"/>
      <c r="BD9" s="720"/>
      <c r="BE9" s="720"/>
      <c r="BF9" s="720"/>
      <c r="BG9" s="720"/>
      <c r="BH9" s="720"/>
      <c r="BI9" s="720"/>
      <c r="BJ9" s="720"/>
      <c r="BK9" s="720"/>
      <c r="BL9" s="720"/>
      <c r="BM9" s="720"/>
      <c r="BN9" s="720"/>
      <c r="BO9" s="720"/>
      <c r="BP9" s="720"/>
      <c r="BQ9" s="720"/>
      <c r="BR9" s="720"/>
      <c r="BS9" s="720"/>
      <c r="BT9" s="720"/>
      <c r="BU9" s="720"/>
      <c r="BV9" s="720"/>
      <c r="BW9" s="720"/>
      <c r="BX9" s="720"/>
      <c r="BY9" s="720"/>
      <c r="BZ9" s="720"/>
      <c r="CA9" s="720"/>
      <c r="CB9" s="720"/>
      <c r="CC9" s="720"/>
      <c r="CD9" s="720"/>
      <c r="CE9" s="720"/>
      <c r="CF9" s="720"/>
      <c r="CG9" s="720"/>
      <c r="CH9" s="720"/>
      <c r="CI9" s="720"/>
      <c r="CJ9" s="720"/>
      <c r="CK9" s="720"/>
      <c r="CL9" s="720"/>
      <c r="CM9" s="720"/>
      <c r="CN9" s="720"/>
      <c r="CO9" s="720"/>
      <c r="CP9" s="720"/>
      <c r="CQ9" s="720"/>
      <c r="CR9" s="720"/>
      <c r="CS9" s="720"/>
      <c r="CT9" s="720"/>
      <c r="CU9" s="720"/>
      <c r="CV9" s="720"/>
      <c r="CW9" s="720"/>
      <c r="CX9" s="720"/>
      <c r="CY9" s="720"/>
      <c r="CZ9" s="720"/>
      <c r="DA9" s="720"/>
      <c r="DB9" s="720"/>
      <c r="DC9" s="720"/>
      <c r="DD9" s="720"/>
      <c r="DE9" s="720"/>
      <c r="DF9" s="720"/>
      <c r="DG9" s="720"/>
      <c r="DH9" s="720"/>
      <c r="DI9" s="720"/>
      <c r="DJ9" s="720"/>
      <c r="DK9" s="720"/>
      <c r="DL9" s="720"/>
      <c r="DM9" s="720"/>
      <c r="DN9" s="720"/>
      <c r="DO9" s="720"/>
      <c r="DP9" s="720"/>
      <c r="DQ9" s="720"/>
      <c r="DR9" s="720"/>
      <c r="DS9" s="720"/>
      <c r="DT9" s="720"/>
      <c r="DU9" s="720"/>
      <c r="DV9" s="720"/>
      <c r="DW9" s="720"/>
      <c r="DX9" s="720"/>
      <c r="DY9" s="720"/>
      <c r="DZ9" s="720"/>
      <c r="EA9" s="720"/>
      <c r="EB9" s="720"/>
      <c r="EC9" s="720"/>
      <c r="ED9" s="720"/>
      <c r="EE9" s="720"/>
      <c r="EF9" s="720"/>
      <c r="EG9" s="720"/>
      <c r="EH9" s="720"/>
      <c r="EI9" s="720"/>
      <c r="EJ9" s="720"/>
      <c r="EK9" s="720"/>
      <c r="EL9" s="720"/>
      <c r="EM9" s="720"/>
      <c r="EN9" s="720"/>
      <c r="EO9" s="720"/>
      <c r="EP9" s="720"/>
      <c r="EQ9" s="720"/>
      <c r="ER9" s="720"/>
      <c r="ES9" s="720"/>
      <c r="ET9" s="720"/>
      <c r="EU9" s="720"/>
      <c r="EV9" s="720"/>
      <c r="EW9" s="720"/>
      <c r="EX9" s="720"/>
      <c r="EY9" s="720"/>
      <c r="EZ9" s="720"/>
      <c r="FA9" s="720"/>
      <c r="FB9" s="720"/>
      <c r="FC9" s="720"/>
      <c r="FD9" s="720"/>
      <c r="FE9" s="720"/>
      <c r="FF9" s="720"/>
      <c r="FG9" s="720"/>
      <c r="FH9" s="720"/>
      <c r="FI9" s="720"/>
      <c r="FJ9" s="720"/>
      <c r="FK9" s="720"/>
      <c r="FL9" s="720"/>
      <c r="FM9" s="720"/>
      <c r="FN9" s="720"/>
      <c r="FO9" s="720"/>
      <c r="FP9" s="720"/>
      <c r="FQ9" s="720"/>
      <c r="FR9" s="720"/>
      <c r="FS9" s="720"/>
      <c r="FT9" s="720"/>
      <c r="FU9" s="720"/>
      <c r="FV9" s="720"/>
      <c r="FW9" s="720"/>
      <c r="FX9" s="720"/>
      <c r="FY9" s="720"/>
      <c r="FZ9" s="720"/>
      <c r="GA9" s="720"/>
      <c r="GB9" s="720"/>
      <c r="GC9" s="720"/>
      <c r="GD9" s="720"/>
      <c r="GE9" s="720"/>
      <c r="GF9" s="720"/>
      <c r="GG9" s="720"/>
      <c r="GH9" s="720"/>
      <c r="GI9" s="720"/>
      <c r="GJ9" s="720"/>
      <c r="GK9" s="720"/>
      <c r="GL9" s="720"/>
      <c r="GM9" s="720"/>
      <c r="GN9" s="720"/>
      <c r="GO9" s="720"/>
      <c r="GP9" s="720"/>
      <c r="GQ9" s="720"/>
      <c r="GR9" s="720"/>
      <c r="GS9" s="720"/>
      <c r="GT9" s="720"/>
      <c r="GU9" s="720"/>
      <c r="GV9" s="720"/>
      <c r="GW9" s="720"/>
      <c r="GX9" s="720"/>
      <c r="GY9" s="720"/>
      <c r="GZ9" s="720"/>
      <c r="HA9" s="720"/>
      <c r="HB9" s="720"/>
      <c r="HC9" s="720"/>
      <c r="HD9" s="720"/>
      <c r="HE9" s="720"/>
      <c r="HF9" s="720"/>
      <c r="HG9" s="720"/>
      <c r="HH9" s="720"/>
      <c r="HI9" s="720"/>
      <c r="HJ9" s="720"/>
      <c r="HK9" s="720"/>
      <c r="HL9" s="720"/>
      <c r="HM9" s="720"/>
      <c r="HN9" s="720"/>
      <c r="HO9" s="720"/>
      <c r="HP9" s="720"/>
      <c r="HQ9" s="720"/>
      <c r="HR9" s="720"/>
      <c r="HS9" s="720"/>
      <c r="HT9" s="720"/>
      <c r="HU9" s="720"/>
      <c r="HV9" s="720"/>
      <c r="HW9" s="720"/>
      <c r="HX9" s="720"/>
      <c r="HY9" s="720"/>
      <c r="HZ9" s="720"/>
      <c r="IA9" s="720"/>
      <c r="IB9" s="720"/>
      <c r="IC9" s="720"/>
      <c r="ID9" s="720"/>
      <c r="IE9" s="720"/>
      <c r="IF9" s="720"/>
      <c r="IG9" s="720"/>
      <c r="IH9" s="720"/>
      <c r="II9" s="720"/>
      <c r="IJ9" s="720"/>
      <c r="IK9" s="720"/>
      <c r="IL9" s="720"/>
      <c r="IM9" s="720"/>
      <c r="IN9" s="720"/>
      <c r="IO9" s="720"/>
      <c r="IP9" s="720"/>
      <c r="IQ9" s="720"/>
      <c r="IR9" s="720"/>
      <c r="IS9" s="720"/>
      <c r="IT9" s="720"/>
      <c r="IU9" s="720"/>
      <c r="IV9" s="720"/>
    </row>
    <row r="10" spans="1:256">
      <c r="A10" s="718"/>
      <c r="B10" s="718" t="s">
        <v>153</v>
      </c>
      <c r="C10" s="718"/>
      <c r="D10" s="610">
        <v>133647.98618880002</v>
      </c>
      <c r="E10" s="610">
        <v>2552069.4000000004</v>
      </c>
      <c r="F10" s="610">
        <v>61231.801114200003</v>
      </c>
      <c r="G10" s="610">
        <v>66894.733024000001</v>
      </c>
      <c r="H10" s="610">
        <v>13907.298999999999</v>
      </c>
      <c r="I10" s="610">
        <v>4168.43</v>
      </c>
      <c r="J10" s="610">
        <v>272.55899999999997</v>
      </c>
      <c r="K10" s="610">
        <v>187.15300000000002</v>
      </c>
      <c r="L10" s="610">
        <v>18535.440999999999</v>
      </c>
      <c r="M10" s="610">
        <v>180972.48830299999</v>
      </c>
      <c r="N10" s="610">
        <v>186635.42021280003</v>
      </c>
      <c r="O10" s="721"/>
      <c r="P10" s="721"/>
      <c r="Q10" s="721"/>
      <c r="R10" s="721"/>
      <c r="S10" s="721"/>
      <c r="T10" s="721"/>
      <c r="U10" s="721"/>
      <c r="V10" s="721"/>
      <c r="W10" s="721"/>
      <c r="X10" s="721"/>
      <c r="Y10" s="721"/>
      <c r="Z10" s="721"/>
      <c r="AA10" s="721"/>
      <c r="AB10" s="721"/>
      <c r="AC10" s="721"/>
      <c r="AD10" s="721"/>
      <c r="AE10" s="721"/>
      <c r="AF10" s="721"/>
      <c r="AG10" s="721"/>
      <c r="AH10" s="721"/>
      <c r="AI10" s="721"/>
      <c r="AJ10" s="721"/>
      <c r="AK10" s="721"/>
      <c r="AL10" s="721"/>
      <c r="AM10" s="721"/>
      <c r="AN10" s="721"/>
      <c r="AO10" s="721"/>
      <c r="AP10" s="721"/>
      <c r="AQ10" s="721"/>
      <c r="AR10" s="721"/>
      <c r="AS10" s="721"/>
      <c r="AT10" s="721"/>
      <c r="AU10" s="721"/>
      <c r="AV10" s="721"/>
      <c r="AW10" s="721"/>
      <c r="AX10" s="721"/>
      <c r="AY10" s="721"/>
      <c r="AZ10" s="721"/>
      <c r="BA10" s="721"/>
      <c r="BB10" s="721"/>
      <c r="BC10" s="721"/>
      <c r="BD10" s="721"/>
      <c r="BE10" s="721"/>
      <c r="BF10" s="721"/>
      <c r="BG10" s="721"/>
      <c r="BH10" s="721"/>
      <c r="BI10" s="721"/>
      <c r="BJ10" s="721"/>
      <c r="BK10" s="721"/>
      <c r="BL10" s="721"/>
      <c r="BM10" s="721"/>
      <c r="BN10" s="721"/>
      <c r="BO10" s="721"/>
      <c r="BP10" s="721"/>
      <c r="BQ10" s="721"/>
      <c r="BR10" s="721"/>
      <c r="BS10" s="721"/>
      <c r="BT10" s="721"/>
      <c r="BU10" s="721"/>
      <c r="BV10" s="721"/>
      <c r="BW10" s="721"/>
      <c r="BX10" s="721"/>
      <c r="BY10" s="721"/>
      <c r="BZ10" s="721"/>
      <c r="CA10" s="721"/>
      <c r="CB10" s="721"/>
      <c r="CC10" s="721"/>
      <c r="CD10" s="721"/>
      <c r="CE10" s="721"/>
      <c r="CF10" s="721"/>
      <c r="CG10" s="721"/>
      <c r="CH10" s="721"/>
      <c r="CI10" s="721"/>
      <c r="CJ10" s="721"/>
      <c r="CK10" s="721"/>
      <c r="CL10" s="721"/>
      <c r="CM10" s="721"/>
      <c r="CN10" s="721"/>
      <c r="CO10" s="721"/>
      <c r="CP10" s="721"/>
      <c r="CQ10" s="721"/>
      <c r="CR10" s="721"/>
      <c r="CS10" s="721"/>
      <c r="CT10" s="721"/>
      <c r="CU10" s="721"/>
      <c r="CV10" s="721"/>
      <c r="CW10" s="721"/>
      <c r="CX10" s="721"/>
      <c r="CY10" s="721"/>
      <c r="CZ10" s="721"/>
      <c r="DA10" s="721"/>
      <c r="DB10" s="721"/>
      <c r="DC10" s="721"/>
      <c r="DD10" s="721"/>
      <c r="DE10" s="721"/>
      <c r="DF10" s="721"/>
      <c r="DG10" s="721"/>
      <c r="DH10" s="721"/>
      <c r="DI10" s="721"/>
      <c r="DJ10" s="721"/>
      <c r="DK10" s="721"/>
      <c r="DL10" s="721"/>
      <c r="DM10" s="721"/>
      <c r="DN10" s="721"/>
      <c r="DO10" s="721"/>
      <c r="DP10" s="721"/>
      <c r="DQ10" s="721"/>
      <c r="DR10" s="721"/>
      <c r="DS10" s="721"/>
      <c r="DT10" s="721"/>
      <c r="DU10" s="721"/>
      <c r="DV10" s="721"/>
      <c r="DW10" s="721"/>
      <c r="DX10" s="721"/>
      <c r="DY10" s="721"/>
      <c r="DZ10" s="721"/>
      <c r="EA10" s="721"/>
      <c r="EB10" s="721"/>
      <c r="EC10" s="721"/>
      <c r="ED10" s="721"/>
      <c r="EE10" s="721"/>
      <c r="EF10" s="721"/>
      <c r="EG10" s="721"/>
      <c r="EH10" s="721"/>
      <c r="EI10" s="721"/>
      <c r="EJ10" s="721"/>
      <c r="EK10" s="721"/>
      <c r="EL10" s="721"/>
      <c r="EM10" s="721"/>
      <c r="EN10" s="721"/>
      <c r="EO10" s="721"/>
      <c r="EP10" s="721"/>
      <c r="EQ10" s="721"/>
      <c r="ER10" s="721"/>
      <c r="ES10" s="721"/>
      <c r="ET10" s="721"/>
      <c r="EU10" s="721"/>
      <c r="EV10" s="721"/>
      <c r="EW10" s="721"/>
      <c r="EX10" s="721"/>
      <c r="EY10" s="721"/>
      <c r="EZ10" s="721"/>
      <c r="FA10" s="721"/>
      <c r="FB10" s="721"/>
      <c r="FC10" s="721"/>
      <c r="FD10" s="721"/>
      <c r="FE10" s="721"/>
      <c r="FF10" s="721"/>
      <c r="FG10" s="721"/>
      <c r="FH10" s="721"/>
      <c r="FI10" s="721"/>
      <c r="FJ10" s="721"/>
      <c r="FK10" s="721"/>
      <c r="FL10" s="721"/>
      <c r="FM10" s="721"/>
      <c r="FN10" s="721"/>
      <c r="FO10" s="721"/>
      <c r="FP10" s="721"/>
      <c r="FQ10" s="721"/>
      <c r="FR10" s="721"/>
      <c r="FS10" s="721"/>
      <c r="FT10" s="721"/>
      <c r="FU10" s="721"/>
      <c r="FV10" s="721"/>
      <c r="FW10" s="721"/>
      <c r="FX10" s="721"/>
      <c r="FY10" s="721"/>
      <c r="FZ10" s="721"/>
      <c r="GA10" s="721"/>
      <c r="GB10" s="721"/>
      <c r="GC10" s="721"/>
      <c r="GD10" s="721"/>
      <c r="GE10" s="721"/>
      <c r="GF10" s="721"/>
      <c r="GG10" s="721"/>
      <c r="GH10" s="721"/>
      <c r="GI10" s="721"/>
      <c r="GJ10" s="721"/>
      <c r="GK10" s="721"/>
      <c r="GL10" s="721"/>
      <c r="GM10" s="721"/>
      <c r="GN10" s="721"/>
      <c r="GO10" s="721"/>
      <c r="GP10" s="721"/>
      <c r="GQ10" s="721"/>
      <c r="GR10" s="721"/>
      <c r="GS10" s="721"/>
      <c r="GT10" s="721"/>
      <c r="GU10" s="721"/>
      <c r="GV10" s="721"/>
      <c r="GW10" s="721"/>
      <c r="GX10" s="721"/>
      <c r="GY10" s="721"/>
      <c r="GZ10" s="721"/>
      <c r="HA10" s="721"/>
      <c r="HB10" s="721"/>
      <c r="HC10" s="721"/>
      <c r="HD10" s="721"/>
      <c r="HE10" s="721"/>
      <c r="HF10" s="721"/>
      <c r="HG10" s="721"/>
      <c r="HH10" s="721"/>
      <c r="HI10" s="721"/>
      <c r="HJ10" s="721"/>
      <c r="HK10" s="721"/>
      <c r="HL10" s="721"/>
      <c r="HM10" s="721"/>
      <c r="HN10" s="721"/>
      <c r="HO10" s="721"/>
      <c r="HP10" s="721"/>
      <c r="HQ10" s="721"/>
      <c r="HR10" s="721"/>
      <c r="HS10" s="721"/>
      <c r="HT10" s="721"/>
      <c r="HU10" s="721"/>
      <c r="HV10" s="721"/>
      <c r="HW10" s="721"/>
      <c r="HX10" s="721"/>
      <c r="HY10" s="721"/>
      <c r="HZ10" s="721"/>
      <c r="IA10" s="721"/>
      <c r="IB10" s="721"/>
      <c r="IC10" s="721"/>
      <c r="ID10" s="721"/>
      <c r="IE10" s="721"/>
      <c r="IF10" s="721"/>
      <c r="IG10" s="721"/>
      <c r="IH10" s="721"/>
      <c r="II10" s="721"/>
      <c r="IJ10" s="721"/>
      <c r="IK10" s="721"/>
      <c r="IL10" s="721"/>
      <c r="IM10" s="721"/>
      <c r="IN10" s="721"/>
      <c r="IO10" s="721"/>
      <c r="IP10" s="721"/>
      <c r="IQ10" s="721"/>
      <c r="IR10" s="721"/>
      <c r="IS10" s="721"/>
      <c r="IT10" s="721"/>
      <c r="IU10" s="721"/>
      <c r="IV10" s="721"/>
    </row>
    <row r="11" spans="1:256">
      <c r="A11" s="718" t="s">
        <v>14</v>
      </c>
      <c r="B11" s="722" t="s">
        <v>2220</v>
      </c>
      <c r="C11" s="722"/>
      <c r="D11" s="611"/>
      <c r="E11" s="611"/>
      <c r="F11" s="611"/>
      <c r="G11" s="611"/>
      <c r="H11" s="611"/>
      <c r="I11" s="611"/>
      <c r="J11" s="611"/>
      <c r="K11" s="611"/>
      <c r="L11" s="611"/>
      <c r="M11" s="611"/>
      <c r="N11" s="723"/>
    </row>
    <row r="12" spans="1:256">
      <c r="A12" s="718" t="s">
        <v>19</v>
      </c>
      <c r="B12" s="722" t="s">
        <v>2221</v>
      </c>
      <c r="C12" s="722"/>
      <c r="D12" s="611"/>
      <c r="E12" s="611"/>
      <c r="F12" s="611"/>
      <c r="G12" s="611"/>
      <c r="H12" s="611"/>
      <c r="I12" s="611"/>
      <c r="J12" s="611"/>
      <c r="K12" s="611"/>
      <c r="L12" s="611"/>
      <c r="M12" s="611"/>
      <c r="N12" s="723"/>
    </row>
    <row r="13" spans="1:256">
      <c r="A13" s="718" t="s">
        <v>23</v>
      </c>
      <c r="B13" s="722" t="s">
        <v>2222</v>
      </c>
      <c r="C13" s="722"/>
      <c r="D13" s="610">
        <v>0</v>
      </c>
      <c r="E13" s="610">
        <v>0</v>
      </c>
      <c r="F13" s="610">
        <v>0</v>
      </c>
      <c r="G13" s="610">
        <v>0</v>
      </c>
      <c r="H13" s="610">
        <v>0</v>
      </c>
      <c r="I13" s="610">
        <v>0</v>
      </c>
      <c r="J13" s="610">
        <v>0</v>
      </c>
      <c r="K13" s="610">
        <v>0</v>
      </c>
      <c r="L13" s="610">
        <v>0</v>
      </c>
      <c r="M13" s="610">
        <v>0</v>
      </c>
      <c r="N13" s="610">
        <v>0</v>
      </c>
      <c r="O13" s="721"/>
      <c r="P13" s="721"/>
      <c r="Q13" s="721"/>
      <c r="R13" s="721"/>
      <c r="S13" s="721"/>
      <c r="T13" s="721"/>
      <c r="U13" s="721"/>
      <c r="V13" s="721"/>
      <c r="W13" s="721"/>
      <c r="X13" s="721"/>
      <c r="Y13" s="721"/>
      <c r="Z13" s="721"/>
      <c r="AA13" s="721"/>
      <c r="AB13" s="721"/>
      <c r="AC13" s="721"/>
      <c r="AD13" s="721"/>
      <c r="AE13" s="721"/>
      <c r="AF13" s="721"/>
      <c r="AG13" s="721"/>
      <c r="AH13" s="721"/>
      <c r="AI13" s="721"/>
      <c r="AJ13" s="721"/>
      <c r="AK13" s="721"/>
      <c r="AL13" s="721"/>
      <c r="AM13" s="721"/>
      <c r="AN13" s="721"/>
      <c r="AO13" s="721"/>
      <c r="AP13" s="721"/>
      <c r="AQ13" s="721"/>
      <c r="AR13" s="721"/>
      <c r="AS13" s="721"/>
      <c r="AT13" s="721"/>
      <c r="AU13" s="721"/>
      <c r="AV13" s="721"/>
      <c r="AW13" s="721"/>
      <c r="AX13" s="721"/>
      <c r="AY13" s="721"/>
      <c r="AZ13" s="721"/>
      <c r="BA13" s="721"/>
      <c r="BB13" s="721"/>
      <c r="BC13" s="721"/>
      <c r="BD13" s="721"/>
      <c r="BE13" s="721"/>
      <c r="BF13" s="721"/>
      <c r="BG13" s="721"/>
      <c r="BH13" s="721"/>
      <c r="BI13" s="721"/>
      <c r="BJ13" s="721"/>
      <c r="BK13" s="721"/>
      <c r="BL13" s="721"/>
      <c r="BM13" s="721"/>
      <c r="BN13" s="721"/>
      <c r="BO13" s="721"/>
      <c r="BP13" s="721"/>
      <c r="BQ13" s="721"/>
      <c r="BR13" s="721"/>
      <c r="BS13" s="721"/>
      <c r="BT13" s="721"/>
      <c r="BU13" s="721"/>
      <c r="BV13" s="721"/>
      <c r="BW13" s="721"/>
      <c r="BX13" s="721"/>
      <c r="BY13" s="721"/>
      <c r="BZ13" s="721"/>
      <c r="CA13" s="721"/>
      <c r="CB13" s="721"/>
      <c r="CC13" s="721"/>
      <c r="CD13" s="721"/>
      <c r="CE13" s="721"/>
      <c r="CF13" s="721"/>
      <c r="CG13" s="721"/>
      <c r="CH13" s="721"/>
      <c r="CI13" s="721"/>
      <c r="CJ13" s="721"/>
      <c r="CK13" s="721"/>
      <c r="CL13" s="721"/>
      <c r="CM13" s="721"/>
      <c r="CN13" s="721"/>
      <c r="CO13" s="721"/>
      <c r="CP13" s="721"/>
      <c r="CQ13" s="721"/>
      <c r="CR13" s="721"/>
      <c r="CS13" s="721"/>
      <c r="CT13" s="721"/>
      <c r="CU13" s="721"/>
      <c r="CV13" s="721"/>
      <c r="CW13" s="721"/>
      <c r="CX13" s="721"/>
      <c r="CY13" s="721"/>
      <c r="CZ13" s="721"/>
      <c r="DA13" s="721"/>
      <c r="DB13" s="721"/>
      <c r="DC13" s="721"/>
      <c r="DD13" s="721"/>
      <c r="DE13" s="721"/>
      <c r="DF13" s="721"/>
      <c r="DG13" s="721"/>
      <c r="DH13" s="721"/>
      <c r="DI13" s="721"/>
      <c r="DJ13" s="721"/>
      <c r="DK13" s="721"/>
      <c r="DL13" s="721"/>
      <c r="DM13" s="721"/>
      <c r="DN13" s="721"/>
      <c r="DO13" s="721"/>
      <c r="DP13" s="721"/>
      <c r="DQ13" s="721"/>
      <c r="DR13" s="721"/>
      <c r="DS13" s="721"/>
      <c r="DT13" s="721"/>
      <c r="DU13" s="721"/>
      <c r="DV13" s="721"/>
      <c r="DW13" s="721"/>
      <c r="DX13" s="721"/>
      <c r="DY13" s="721"/>
      <c r="DZ13" s="721"/>
      <c r="EA13" s="721"/>
      <c r="EB13" s="721"/>
      <c r="EC13" s="721"/>
      <c r="ED13" s="721"/>
      <c r="EE13" s="721"/>
      <c r="EF13" s="721"/>
      <c r="EG13" s="721"/>
      <c r="EH13" s="721"/>
      <c r="EI13" s="721"/>
      <c r="EJ13" s="721"/>
      <c r="EK13" s="721"/>
      <c r="EL13" s="721"/>
      <c r="EM13" s="721"/>
      <c r="EN13" s="721"/>
      <c r="EO13" s="721"/>
      <c r="EP13" s="721"/>
      <c r="EQ13" s="721"/>
      <c r="ER13" s="721"/>
      <c r="ES13" s="721"/>
      <c r="ET13" s="721"/>
      <c r="EU13" s="721"/>
      <c r="EV13" s="721"/>
      <c r="EW13" s="721"/>
      <c r="EX13" s="721"/>
      <c r="EY13" s="721"/>
      <c r="EZ13" s="721"/>
      <c r="FA13" s="721"/>
      <c r="FB13" s="721"/>
      <c r="FC13" s="721"/>
      <c r="FD13" s="721"/>
      <c r="FE13" s="721"/>
      <c r="FF13" s="721"/>
      <c r="FG13" s="721"/>
      <c r="FH13" s="721"/>
      <c r="FI13" s="721"/>
      <c r="FJ13" s="721"/>
      <c r="FK13" s="721"/>
      <c r="FL13" s="721"/>
      <c r="FM13" s="721"/>
      <c r="FN13" s="721"/>
      <c r="FO13" s="721"/>
      <c r="FP13" s="721"/>
      <c r="FQ13" s="721"/>
      <c r="FR13" s="721"/>
      <c r="FS13" s="721"/>
      <c r="FT13" s="721"/>
      <c r="FU13" s="721"/>
      <c r="FV13" s="721"/>
      <c r="FW13" s="721"/>
      <c r="FX13" s="721"/>
      <c r="FY13" s="721"/>
      <c r="FZ13" s="721"/>
      <c r="GA13" s="721"/>
      <c r="GB13" s="721"/>
      <c r="GC13" s="721"/>
      <c r="GD13" s="721"/>
      <c r="GE13" s="721"/>
      <c r="GF13" s="721"/>
      <c r="GG13" s="721"/>
      <c r="GH13" s="721"/>
      <c r="GI13" s="721"/>
      <c r="GJ13" s="721"/>
      <c r="GK13" s="721"/>
      <c r="GL13" s="721"/>
      <c r="GM13" s="721"/>
      <c r="GN13" s="721"/>
      <c r="GO13" s="721"/>
      <c r="GP13" s="721"/>
      <c r="GQ13" s="721"/>
      <c r="GR13" s="721"/>
      <c r="GS13" s="721"/>
      <c r="GT13" s="721"/>
      <c r="GU13" s="721"/>
      <c r="GV13" s="721"/>
      <c r="GW13" s="721"/>
      <c r="GX13" s="721"/>
      <c r="GY13" s="721"/>
      <c r="GZ13" s="721"/>
      <c r="HA13" s="721"/>
      <c r="HB13" s="721"/>
      <c r="HC13" s="721"/>
      <c r="HD13" s="721"/>
      <c r="HE13" s="721"/>
      <c r="HF13" s="721"/>
      <c r="HG13" s="721"/>
      <c r="HH13" s="721"/>
      <c r="HI13" s="721"/>
      <c r="HJ13" s="721"/>
      <c r="HK13" s="721"/>
      <c r="HL13" s="721"/>
      <c r="HM13" s="721"/>
      <c r="HN13" s="721"/>
      <c r="HO13" s="721"/>
      <c r="HP13" s="721"/>
      <c r="HQ13" s="721"/>
      <c r="HR13" s="721"/>
      <c r="HS13" s="721"/>
      <c r="HT13" s="721"/>
      <c r="HU13" s="721"/>
      <c r="HV13" s="721"/>
      <c r="HW13" s="721"/>
      <c r="HX13" s="721"/>
      <c r="HY13" s="721"/>
      <c r="HZ13" s="721"/>
      <c r="IA13" s="721"/>
      <c r="IB13" s="721"/>
      <c r="IC13" s="721"/>
      <c r="ID13" s="721"/>
      <c r="IE13" s="721"/>
      <c r="IF13" s="721"/>
      <c r="IG13" s="721"/>
      <c r="IH13" s="721"/>
      <c r="II13" s="721"/>
      <c r="IJ13" s="721"/>
      <c r="IK13" s="721"/>
      <c r="IL13" s="721"/>
      <c r="IM13" s="721"/>
      <c r="IN13" s="721"/>
      <c r="IO13" s="721"/>
      <c r="IP13" s="721"/>
      <c r="IQ13" s="721"/>
      <c r="IR13" s="721"/>
      <c r="IS13" s="721"/>
      <c r="IT13" s="721"/>
      <c r="IU13" s="721"/>
      <c r="IV13" s="721"/>
    </row>
    <row r="14" spans="1:256">
      <c r="A14" s="570">
        <v>1</v>
      </c>
      <c r="B14" s="724" t="s">
        <v>2223</v>
      </c>
      <c r="C14" s="724"/>
      <c r="D14" s="611"/>
      <c r="E14" s="611"/>
      <c r="F14" s="611"/>
      <c r="G14" s="611"/>
      <c r="H14" s="611"/>
      <c r="I14" s="611"/>
      <c r="J14" s="611"/>
      <c r="K14" s="611"/>
      <c r="L14" s="611"/>
      <c r="M14" s="611"/>
      <c r="N14" s="725"/>
    </row>
    <row r="15" spans="1:256" ht="16.5" customHeight="1">
      <c r="A15" s="570">
        <v>2</v>
      </c>
      <c r="B15" s="724" t="s">
        <v>2224</v>
      </c>
      <c r="C15" s="724"/>
      <c r="D15" s="611"/>
      <c r="E15" s="611"/>
      <c r="F15" s="611"/>
      <c r="G15" s="610"/>
      <c r="H15" s="610"/>
      <c r="I15" s="611"/>
      <c r="J15" s="611"/>
      <c r="K15" s="611"/>
      <c r="L15" s="611"/>
      <c r="M15" s="611"/>
      <c r="N15" s="723"/>
    </row>
    <row r="16" spans="1:256" ht="22.5" customHeight="1">
      <c r="A16" s="718" t="s">
        <v>24</v>
      </c>
      <c r="B16" s="722" t="s">
        <v>2225</v>
      </c>
      <c r="C16" s="722"/>
      <c r="D16" s="610">
        <v>133647.98618880002</v>
      </c>
      <c r="E16" s="610">
        <v>2552069.4000000004</v>
      </c>
      <c r="F16" s="610">
        <v>61231.801114200003</v>
      </c>
      <c r="G16" s="610">
        <v>66894.733024000001</v>
      </c>
      <c r="H16" s="610">
        <v>13907.298999999999</v>
      </c>
      <c r="I16" s="610">
        <v>4168.43</v>
      </c>
      <c r="J16" s="610">
        <v>272.55899999999997</v>
      </c>
      <c r="K16" s="610">
        <v>187.15300000000002</v>
      </c>
      <c r="L16" s="610">
        <v>18535.440999999999</v>
      </c>
      <c r="M16" s="610">
        <v>180972.48830299999</v>
      </c>
      <c r="N16" s="833">
        <v>186635.42021280003</v>
      </c>
    </row>
    <row r="17" spans="1:14">
      <c r="A17" s="570">
        <v>1</v>
      </c>
      <c r="B17" s="724" t="s">
        <v>2226</v>
      </c>
      <c r="C17" s="724"/>
      <c r="D17" s="611">
        <v>12807.14</v>
      </c>
      <c r="E17" s="611">
        <v>-10518.7</v>
      </c>
      <c r="F17" s="725">
        <v>-252.37516910000002</v>
      </c>
      <c r="G17" s="725"/>
      <c r="H17" s="611">
        <v>1060.4480000000001</v>
      </c>
      <c r="I17" s="834">
        <v>268.387</v>
      </c>
      <c r="J17" s="834">
        <v>0</v>
      </c>
      <c r="K17" s="834">
        <v>0</v>
      </c>
      <c r="L17" s="611">
        <v>1328.835</v>
      </c>
      <c r="M17" s="611">
        <v>11494.316830899999</v>
      </c>
      <c r="N17" s="725">
        <v>11746.691999999999</v>
      </c>
    </row>
    <row r="18" spans="1:14" ht="33">
      <c r="A18" s="570">
        <v>2</v>
      </c>
      <c r="B18" s="724" t="s">
        <v>2227</v>
      </c>
      <c r="C18" s="724">
        <v>7623879</v>
      </c>
      <c r="D18" s="611">
        <v>2191.8952408</v>
      </c>
      <c r="E18" s="611">
        <v>-11173.76</v>
      </c>
      <c r="F18" s="725">
        <v>-268.09202368000001</v>
      </c>
      <c r="G18" s="611">
        <v>176.24302399999999</v>
      </c>
      <c r="H18" s="611">
        <v>504.07900000000001</v>
      </c>
      <c r="I18" s="834">
        <v>32.116999999999997</v>
      </c>
      <c r="J18" s="834">
        <v>19.27</v>
      </c>
      <c r="K18" s="834">
        <v>0</v>
      </c>
      <c r="L18" s="611">
        <v>555.46600000000001</v>
      </c>
      <c r="M18" s="611">
        <v>1419.72421712</v>
      </c>
      <c r="N18" s="725">
        <v>1864.0592647999999</v>
      </c>
    </row>
    <row r="19" spans="1:14" ht="33">
      <c r="A19" s="570">
        <v>3</v>
      </c>
      <c r="B19" s="724" t="s">
        <v>2228</v>
      </c>
      <c r="C19" s="724">
        <v>7750871</v>
      </c>
      <c r="D19" s="611">
        <v>18579.228999999999</v>
      </c>
      <c r="E19" s="611">
        <v>695541.62800000003</v>
      </c>
      <c r="F19" s="725">
        <v>16688.130280604</v>
      </c>
      <c r="G19" s="611">
        <v>14672.841</v>
      </c>
      <c r="H19" s="611">
        <v>2452.8670000000002</v>
      </c>
      <c r="I19" s="834">
        <v>271.79500000000002</v>
      </c>
      <c r="J19" s="834">
        <v>220.87299999999999</v>
      </c>
      <c r="K19" s="834">
        <v>54.359000000000002</v>
      </c>
      <c r="L19" s="611">
        <v>2999.8940000000002</v>
      </c>
      <c r="M19" s="611">
        <v>32814.492280603998</v>
      </c>
      <c r="N19" s="725">
        <v>30799.203000000001</v>
      </c>
    </row>
    <row r="20" spans="1:14" ht="33">
      <c r="A20" s="570">
        <v>4</v>
      </c>
      <c r="B20" s="724" t="s">
        <v>2229</v>
      </c>
      <c r="C20" s="724">
        <v>7593697</v>
      </c>
      <c r="D20" s="611">
        <v>30025.594948000005</v>
      </c>
      <c r="E20" s="611">
        <v>0</v>
      </c>
      <c r="F20" s="725">
        <v>0</v>
      </c>
      <c r="G20" s="611">
        <v>4440</v>
      </c>
      <c r="H20" s="611">
        <v>2868.1289999999999</v>
      </c>
      <c r="I20" s="834">
        <v>699.09900000000005</v>
      </c>
      <c r="J20" s="834">
        <v>0</v>
      </c>
      <c r="K20" s="834">
        <v>0</v>
      </c>
      <c r="L20" s="611">
        <v>3567.2280000000001</v>
      </c>
      <c r="M20" s="611">
        <v>27157.465948000005</v>
      </c>
      <c r="N20" s="725">
        <v>31597.465948000005</v>
      </c>
    </row>
    <row r="21" spans="1:14" ht="33">
      <c r="A21" s="570">
        <v>5</v>
      </c>
      <c r="B21" s="724" t="s">
        <v>2230</v>
      </c>
      <c r="C21" s="724">
        <v>7768216</v>
      </c>
      <c r="D21" s="611">
        <v>28795.781999999999</v>
      </c>
      <c r="E21" s="611">
        <v>680000</v>
      </c>
      <c r="F21" s="725">
        <v>16315.24</v>
      </c>
      <c r="G21" s="611">
        <v>13360</v>
      </c>
      <c r="H21" s="611">
        <v>0</v>
      </c>
      <c r="I21" s="834">
        <v>2339.7779999999998</v>
      </c>
      <c r="J21" s="834">
        <v>32.415999999999997</v>
      </c>
      <c r="K21" s="834">
        <v>87.543999999999997</v>
      </c>
      <c r="L21" s="611">
        <v>2459.7379999999998</v>
      </c>
      <c r="M21" s="611">
        <v>45111.021999999997</v>
      </c>
      <c r="N21" s="725">
        <v>42155.781999999999</v>
      </c>
    </row>
    <row r="22" spans="1:14" ht="49.5">
      <c r="A22" s="570">
        <v>6</v>
      </c>
      <c r="B22" s="724" t="s">
        <v>2231</v>
      </c>
      <c r="C22" s="724">
        <v>7740197</v>
      </c>
      <c r="D22" s="611">
        <v>701.48599999999999</v>
      </c>
      <c r="E22" s="611">
        <v>600000</v>
      </c>
      <c r="F22" s="725">
        <v>14395.8</v>
      </c>
      <c r="G22" s="611">
        <v>20304.754000000001</v>
      </c>
      <c r="H22" s="611">
        <v>0</v>
      </c>
      <c r="I22" s="834">
        <v>64.402000000000001</v>
      </c>
      <c r="J22" s="834">
        <v>0</v>
      </c>
      <c r="K22" s="834">
        <v>8.0500000000000007</v>
      </c>
      <c r="L22" s="611">
        <v>72.451999999999998</v>
      </c>
      <c r="M22" s="611">
        <v>15097.286</v>
      </c>
      <c r="N22" s="725">
        <v>21006.240000000002</v>
      </c>
    </row>
    <row r="23" spans="1:14" ht="33">
      <c r="A23" s="570">
        <v>7</v>
      </c>
      <c r="B23" s="724" t="s">
        <v>2232</v>
      </c>
      <c r="C23" s="724">
        <v>7411898</v>
      </c>
      <c r="D23" s="611">
        <v>13824.907999999999</v>
      </c>
      <c r="E23" s="611">
        <v>94595.492000000013</v>
      </c>
      <c r="F23" s="725">
        <v>2269.6296395560003</v>
      </c>
      <c r="G23" s="611">
        <v>2750.3940000000002</v>
      </c>
      <c r="H23" s="611">
        <v>1272.0999999999999</v>
      </c>
      <c r="I23" s="834">
        <v>223.19800000000001</v>
      </c>
      <c r="J23" s="834">
        <v>0</v>
      </c>
      <c r="K23" s="834">
        <v>37.200000000000003</v>
      </c>
      <c r="L23" s="611">
        <v>1532.498</v>
      </c>
      <c r="M23" s="611">
        <v>14822.437639555999</v>
      </c>
      <c r="N23" s="725">
        <v>15303.201999999999</v>
      </c>
    </row>
    <row r="24" spans="1:14" ht="33">
      <c r="A24" s="570">
        <v>8</v>
      </c>
      <c r="B24" s="724" t="s">
        <v>2233</v>
      </c>
      <c r="C24" s="724">
        <v>7663996</v>
      </c>
      <c r="D24" s="611">
        <v>26721.951000000001</v>
      </c>
      <c r="E24" s="611">
        <v>503624.74</v>
      </c>
      <c r="F24" s="725">
        <v>12083.468386819999</v>
      </c>
      <c r="G24" s="611">
        <v>11190.501</v>
      </c>
      <c r="H24" s="611">
        <v>5749.6760000000004</v>
      </c>
      <c r="I24" s="834">
        <v>269.654</v>
      </c>
      <c r="J24" s="834">
        <v>0</v>
      </c>
      <c r="K24" s="834">
        <v>0</v>
      </c>
      <c r="L24" s="611">
        <v>6019.33</v>
      </c>
      <c r="M24" s="611">
        <v>33055.743386820002</v>
      </c>
      <c r="N24" s="725">
        <v>32162.776000000005</v>
      </c>
    </row>
    <row r="25" spans="1:14">
      <c r="A25" s="718" t="s">
        <v>26</v>
      </c>
      <c r="B25" s="722" t="s">
        <v>2234</v>
      </c>
      <c r="C25" s="722"/>
      <c r="D25" s="700"/>
      <c r="E25" s="700"/>
      <c r="F25" s="725">
        <v>0</v>
      </c>
      <c r="G25" s="1039"/>
      <c r="H25" s="700">
        <v>0</v>
      </c>
      <c r="I25" s="700">
        <v>0</v>
      </c>
      <c r="J25" s="700"/>
      <c r="K25" s="700"/>
      <c r="L25" s="700"/>
      <c r="M25" s="700"/>
      <c r="N25" s="723"/>
    </row>
    <row r="26" spans="1:14" ht="17.25">
      <c r="A26" s="1185" t="s">
        <v>1693</v>
      </c>
      <c r="B26" s="1185"/>
      <c r="C26" s="1185"/>
      <c r="D26" s="1185"/>
      <c r="E26" s="1185"/>
      <c r="F26" s="1185"/>
      <c r="G26" s="1185"/>
      <c r="H26" s="1185"/>
      <c r="I26" s="1185"/>
      <c r="J26" s="1185"/>
      <c r="K26" s="1185"/>
      <c r="L26" s="1185"/>
      <c r="M26" s="1186"/>
    </row>
    <row r="27" spans="1:14">
      <c r="A27" s="1177" t="s">
        <v>2235</v>
      </c>
      <c r="B27" s="1177"/>
      <c r="C27" s="1177"/>
      <c r="D27" s="1177"/>
      <c r="E27" s="1177"/>
      <c r="F27" s="1177"/>
      <c r="G27" s="1177"/>
      <c r="H27" s="1177"/>
      <c r="I27" s="1177"/>
      <c r="J27" s="1177"/>
      <c r="K27" s="1177"/>
      <c r="L27" s="1177"/>
      <c r="M27" s="1177"/>
    </row>
    <row r="28" spans="1:14">
      <c r="A28" s="1177" t="s">
        <v>2236</v>
      </c>
      <c r="B28" s="1177"/>
      <c r="C28" s="1177"/>
      <c r="D28" s="1177"/>
      <c r="E28" s="1177"/>
      <c r="F28" s="1177"/>
      <c r="G28" s="1177"/>
      <c r="H28" s="1177"/>
      <c r="I28" s="1177"/>
      <c r="J28" s="1177"/>
      <c r="K28" s="1177"/>
      <c r="L28" s="1177"/>
      <c r="M28" s="1177"/>
    </row>
    <row r="29" spans="1:14">
      <c r="A29" s="1177" t="s">
        <v>2237</v>
      </c>
      <c r="B29" s="1177"/>
      <c r="C29" s="1177"/>
      <c r="D29" s="1177"/>
      <c r="E29" s="1177"/>
      <c r="F29" s="1177"/>
      <c r="G29" s="1177"/>
      <c r="H29" s="1177"/>
      <c r="I29" s="1177"/>
      <c r="J29" s="1177"/>
      <c r="K29" s="1177"/>
      <c r="L29" s="1177"/>
      <c r="M29" s="1177"/>
    </row>
    <row r="30" spans="1:14">
      <c r="E30" s="728"/>
    </row>
    <row r="31" spans="1:14">
      <c r="D31" s="726"/>
      <c r="E31" s="726"/>
      <c r="F31" s="727"/>
    </row>
  </sheetData>
  <mergeCells count="15">
    <mergeCell ref="I1:K1"/>
    <mergeCell ref="I2:K2"/>
    <mergeCell ref="A4:M4"/>
    <mergeCell ref="A5:M5"/>
    <mergeCell ref="L6:M6"/>
    <mergeCell ref="A26:M26"/>
    <mergeCell ref="A27:M27"/>
    <mergeCell ref="A28:M28"/>
    <mergeCell ref="A29:M29"/>
    <mergeCell ref="A7:A8"/>
    <mergeCell ref="B7:B8"/>
    <mergeCell ref="D7:D8"/>
    <mergeCell ref="E7:G7"/>
    <mergeCell ref="H7:L7"/>
    <mergeCell ref="M7:N7"/>
  </mergeCells>
  <pageMargins left="0.7" right="0.7" top="0.75" bottom="0.75" header="0.3" footer="0.3"/>
  <pageSetup paperSize="9" scale="55"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IU988"/>
  <sheetViews>
    <sheetView zoomScale="84" zoomScaleNormal="84" workbookViewId="0">
      <selection activeCell="H62" sqref="H62"/>
    </sheetView>
  </sheetViews>
  <sheetFormatPr defaultRowHeight="11.25"/>
  <cols>
    <col min="1" max="1" width="5" style="14" customWidth="1"/>
    <col min="2" max="2" width="20.75" style="14" customWidth="1"/>
    <col min="3" max="3" width="7.375" style="14" hidden="1" customWidth="1"/>
    <col min="4" max="4" width="12.375" style="16" hidden="1" customWidth="1"/>
    <col min="5" max="5" width="9.375" style="16" customWidth="1"/>
    <col min="6" max="6" width="8.75" style="16" customWidth="1"/>
    <col min="7" max="7" width="8.375" style="16" customWidth="1"/>
    <col min="8" max="8" width="7.375" style="16" customWidth="1"/>
    <col min="9" max="9" width="8.75" style="16" customWidth="1"/>
    <col min="10" max="10" width="8.25" style="16" customWidth="1"/>
    <col min="11" max="11" width="8.375" style="16" customWidth="1"/>
    <col min="12" max="12" width="7.875" style="16" customWidth="1"/>
    <col min="13" max="13" width="8.25" style="16" customWidth="1"/>
    <col min="14" max="21" width="9.375" style="16" customWidth="1"/>
    <col min="22" max="16384" width="9" style="14"/>
  </cols>
  <sheetData>
    <row r="1" spans="1:21" ht="17.25" customHeight="1">
      <c r="B1" s="15"/>
      <c r="S1" s="1190" t="s">
        <v>157</v>
      </c>
      <c r="T1" s="1190"/>
      <c r="U1" s="1190"/>
    </row>
    <row r="2" spans="1:21" s="499" customFormat="1" ht="19.5" customHeight="1">
      <c r="A2" s="1191" t="s">
        <v>276</v>
      </c>
      <c r="B2" s="1191"/>
      <c r="C2" s="1191"/>
      <c r="D2" s="1191"/>
      <c r="E2" s="1191"/>
      <c r="F2" s="1191"/>
      <c r="G2" s="1191"/>
      <c r="H2" s="1191"/>
      <c r="I2" s="1191"/>
      <c r="J2" s="1191"/>
      <c r="K2" s="1191"/>
      <c r="L2" s="1191"/>
      <c r="M2" s="1191"/>
      <c r="N2" s="1191"/>
      <c r="O2" s="1191"/>
      <c r="P2" s="1191"/>
      <c r="Q2" s="1191"/>
      <c r="R2" s="1191"/>
      <c r="S2" s="1191"/>
      <c r="T2" s="1191"/>
      <c r="U2" s="1191"/>
    </row>
    <row r="3" spans="1:21" ht="27" customHeight="1">
      <c r="A3" s="1192" t="s">
        <v>1249</v>
      </c>
      <c r="B3" s="1192"/>
      <c r="C3" s="1192"/>
      <c r="D3" s="1192"/>
      <c r="E3" s="1192"/>
      <c r="F3" s="1192"/>
      <c r="G3" s="1192"/>
      <c r="H3" s="1192"/>
      <c r="I3" s="1192"/>
      <c r="J3" s="1192"/>
      <c r="K3" s="1192"/>
      <c r="L3" s="1192"/>
      <c r="M3" s="1192"/>
      <c r="N3" s="1192"/>
      <c r="O3" s="1192"/>
      <c r="P3" s="1192"/>
      <c r="Q3" s="1192"/>
      <c r="R3" s="1192"/>
      <c r="S3" s="1192"/>
      <c r="T3" s="1192"/>
      <c r="U3" s="1192"/>
    </row>
    <row r="4" spans="1:21" ht="15.75" customHeight="1">
      <c r="B4" s="1193"/>
      <c r="C4" s="1193"/>
      <c r="D4" s="1193"/>
      <c r="E4" s="1193"/>
      <c r="F4" s="1193"/>
      <c r="G4" s="1193"/>
      <c r="H4" s="1193"/>
      <c r="I4" s="1193"/>
      <c r="J4" s="1193"/>
      <c r="K4" s="1193"/>
      <c r="L4" s="1193"/>
      <c r="M4" s="1193"/>
      <c r="N4" s="1193"/>
      <c r="O4" s="1193"/>
      <c r="S4" s="1194" t="s">
        <v>2</v>
      </c>
      <c r="T4" s="1194"/>
      <c r="U4" s="1194"/>
    </row>
    <row r="5" spans="1:21">
      <c r="A5" s="1195" t="s">
        <v>3</v>
      </c>
      <c r="B5" s="1195" t="s">
        <v>152</v>
      </c>
      <c r="C5" s="1188" t="s">
        <v>277</v>
      </c>
      <c r="D5" s="1187" t="s">
        <v>4</v>
      </c>
      <c r="E5" s="1187" t="s">
        <v>5</v>
      </c>
      <c r="F5" s="1187" t="s">
        <v>123</v>
      </c>
      <c r="G5" s="1187" t="s">
        <v>127</v>
      </c>
      <c r="H5" s="1187" t="s">
        <v>131</v>
      </c>
      <c r="I5" s="1187" t="s">
        <v>132</v>
      </c>
      <c r="J5" s="1187" t="s">
        <v>133</v>
      </c>
      <c r="K5" s="1187" t="s">
        <v>134</v>
      </c>
      <c r="L5" s="1187" t="s">
        <v>135</v>
      </c>
      <c r="M5" s="1187" t="s">
        <v>136</v>
      </c>
      <c r="N5" s="1187" t="s">
        <v>137</v>
      </c>
      <c r="O5" s="1187" t="s">
        <v>138</v>
      </c>
      <c r="P5" s="1187" t="s">
        <v>158</v>
      </c>
      <c r="Q5" s="1187"/>
      <c r="R5" s="1187" t="s">
        <v>139</v>
      </c>
      <c r="S5" s="1187" t="s">
        <v>140</v>
      </c>
      <c r="T5" s="1187" t="s">
        <v>141</v>
      </c>
      <c r="U5" s="1187" t="s">
        <v>52</v>
      </c>
    </row>
    <row r="6" spans="1:21" ht="53.25" customHeight="1">
      <c r="A6" s="1195"/>
      <c r="B6" s="1195"/>
      <c r="C6" s="1189"/>
      <c r="D6" s="1187"/>
      <c r="E6" s="1187"/>
      <c r="F6" s="1187"/>
      <c r="G6" s="1187"/>
      <c r="H6" s="1187"/>
      <c r="I6" s="1187"/>
      <c r="J6" s="1187"/>
      <c r="K6" s="1187"/>
      <c r="L6" s="1187"/>
      <c r="M6" s="1187"/>
      <c r="N6" s="1187"/>
      <c r="O6" s="1187"/>
      <c r="P6" s="241" t="s">
        <v>159</v>
      </c>
      <c r="Q6" s="241" t="s">
        <v>160</v>
      </c>
      <c r="R6" s="1187"/>
      <c r="S6" s="1187"/>
      <c r="T6" s="1187"/>
      <c r="U6" s="1187"/>
    </row>
    <row r="7" spans="1:21" s="17" customFormat="1">
      <c r="A7" s="243" t="s">
        <v>9</v>
      </c>
      <c r="B7" s="243" t="s">
        <v>10</v>
      </c>
      <c r="C7" s="243"/>
      <c r="D7" s="243">
        <v>1</v>
      </c>
      <c r="E7" s="243">
        <v>2</v>
      </c>
      <c r="F7" s="243">
        <v>3</v>
      </c>
      <c r="G7" s="243">
        <v>4</v>
      </c>
      <c r="H7" s="243">
        <v>5</v>
      </c>
      <c r="I7" s="243">
        <v>6</v>
      </c>
      <c r="J7" s="243">
        <v>7</v>
      </c>
      <c r="K7" s="243">
        <v>8</v>
      </c>
      <c r="L7" s="243">
        <v>9</v>
      </c>
      <c r="M7" s="243">
        <v>10</v>
      </c>
      <c r="N7" s="243">
        <v>11</v>
      </c>
      <c r="O7" s="243">
        <v>12</v>
      </c>
      <c r="P7" s="243">
        <v>13</v>
      </c>
      <c r="Q7" s="243">
        <v>14</v>
      </c>
      <c r="R7" s="243">
        <v>15</v>
      </c>
      <c r="S7" s="243">
        <v>16</v>
      </c>
      <c r="T7" s="243">
        <v>17</v>
      </c>
      <c r="U7" s="241" t="s">
        <v>161</v>
      </c>
    </row>
    <row r="8" spans="1:21" ht="21.75" customHeight="1">
      <c r="A8" s="243"/>
      <c r="B8" s="18" t="s">
        <v>154</v>
      </c>
      <c r="C8" s="18"/>
      <c r="D8" s="19">
        <v>2311239.6660000002</v>
      </c>
      <c r="E8" s="124">
        <v>1759452.3804660002</v>
      </c>
      <c r="F8" s="124">
        <v>114503.31208999998</v>
      </c>
      <c r="G8" s="124">
        <v>15458.9938</v>
      </c>
      <c r="H8" s="124">
        <v>21824.773999999998</v>
      </c>
      <c r="I8" s="124">
        <v>0</v>
      </c>
      <c r="J8" s="124">
        <v>108843.77893500001</v>
      </c>
      <c r="K8" s="124">
        <v>41115.48569999999</v>
      </c>
      <c r="L8" s="124">
        <v>16211.012850000001</v>
      </c>
      <c r="M8" s="124">
        <v>894.22400000000005</v>
      </c>
      <c r="N8" s="124">
        <v>9446.74</v>
      </c>
      <c r="O8" s="124">
        <v>1294162.9590909998</v>
      </c>
      <c r="P8" s="124">
        <v>313175.00158699998</v>
      </c>
      <c r="Q8" s="124">
        <v>78339.016174000004</v>
      </c>
      <c r="R8" s="124">
        <v>129066.56299999999</v>
      </c>
      <c r="S8" s="124">
        <v>7924.5370000000003</v>
      </c>
      <c r="T8" s="19">
        <v>0</v>
      </c>
      <c r="U8" s="241"/>
    </row>
    <row r="9" spans="1:21" ht="21.75" hidden="1" customHeight="1">
      <c r="A9" s="20"/>
      <c r="B9" s="21" t="s">
        <v>183</v>
      </c>
      <c r="C9" s="21"/>
      <c r="D9" s="22">
        <v>1570752.666</v>
      </c>
      <c r="E9" s="24">
        <v>1119945.5336630002</v>
      </c>
      <c r="F9" s="24">
        <v>108280.31208999998</v>
      </c>
      <c r="G9" s="24">
        <v>15458.9938</v>
      </c>
      <c r="H9" s="24">
        <v>21824.773999999998</v>
      </c>
      <c r="I9" s="24">
        <v>0</v>
      </c>
      <c r="J9" s="24">
        <v>22641.353841</v>
      </c>
      <c r="K9" s="24">
        <v>41115.48569999999</v>
      </c>
      <c r="L9" s="24">
        <v>16211.012850000001</v>
      </c>
      <c r="M9" s="24">
        <v>894.22400000000005</v>
      </c>
      <c r="N9" s="24">
        <v>6879.3720000000003</v>
      </c>
      <c r="O9" s="24">
        <v>751650.90138199995</v>
      </c>
      <c r="P9" s="24">
        <v>313175.00158699998</v>
      </c>
      <c r="Q9" s="24">
        <v>78339.016174000004</v>
      </c>
      <c r="R9" s="24">
        <v>127064.567</v>
      </c>
      <c r="S9" s="24">
        <v>7924.5370000000003</v>
      </c>
      <c r="T9" s="22">
        <v>0</v>
      </c>
      <c r="U9" s="23"/>
    </row>
    <row r="10" spans="1:21" ht="21.75" hidden="1" customHeight="1">
      <c r="A10" s="20"/>
      <c r="B10" s="21" t="s">
        <v>278</v>
      </c>
      <c r="C10" s="21"/>
      <c r="D10" s="22">
        <v>275119.266</v>
      </c>
      <c r="E10" s="24">
        <v>278911.32120300003</v>
      </c>
      <c r="F10" s="24">
        <v>76079.605089999983</v>
      </c>
      <c r="G10" s="24">
        <v>13450.4938</v>
      </c>
      <c r="H10" s="24">
        <v>10930.41</v>
      </c>
      <c r="I10" s="24">
        <v>0</v>
      </c>
      <c r="J10" s="24">
        <v>5426.4285580000005</v>
      </c>
      <c r="K10" s="24">
        <v>7345.9939999999997</v>
      </c>
      <c r="L10" s="24">
        <v>1500</v>
      </c>
      <c r="M10" s="24">
        <v>0</v>
      </c>
      <c r="N10" s="24">
        <v>250</v>
      </c>
      <c r="O10" s="24">
        <v>140142.18475499999</v>
      </c>
      <c r="P10" s="24">
        <v>39215.173999999999</v>
      </c>
      <c r="Q10" s="24">
        <v>20007.992164000003</v>
      </c>
      <c r="R10" s="24">
        <v>21464.271999999997</v>
      </c>
      <c r="S10" s="24">
        <v>2321.933</v>
      </c>
      <c r="T10" s="22">
        <v>0</v>
      </c>
      <c r="U10" s="23"/>
    </row>
    <row r="11" spans="1:21" ht="21.75" hidden="1" customHeight="1">
      <c r="A11" s="20"/>
      <c r="B11" s="21" t="s">
        <v>279</v>
      </c>
      <c r="C11" s="21"/>
      <c r="D11" s="22">
        <v>0</v>
      </c>
      <c r="E11" s="24">
        <v>23947.697</v>
      </c>
      <c r="F11" s="24">
        <v>0</v>
      </c>
      <c r="G11" s="24">
        <v>0</v>
      </c>
      <c r="H11" s="24">
        <v>0</v>
      </c>
      <c r="I11" s="24">
        <v>0</v>
      </c>
      <c r="J11" s="24">
        <v>0</v>
      </c>
      <c r="K11" s="24">
        <v>0</v>
      </c>
      <c r="L11" s="24">
        <v>0</v>
      </c>
      <c r="M11" s="24">
        <v>0</v>
      </c>
      <c r="N11" s="24">
        <v>0</v>
      </c>
      <c r="O11" s="24">
        <v>5307.0779999999995</v>
      </c>
      <c r="P11" s="24">
        <v>2307.078</v>
      </c>
      <c r="Q11" s="24">
        <v>0</v>
      </c>
      <c r="R11" s="24">
        <v>13038.014999999999</v>
      </c>
      <c r="S11" s="24">
        <v>5602.6040000000003</v>
      </c>
      <c r="T11" s="22">
        <v>0</v>
      </c>
      <c r="U11" s="23"/>
    </row>
    <row r="12" spans="1:21" ht="21.75" hidden="1" customHeight="1">
      <c r="A12" s="20"/>
      <c r="B12" s="21" t="s">
        <v>280</v>
      </c>
      <c r="C12" s="21"/>
      <c r="D12" s="22">
        <v>119619.40000000001</v>
      </c>
      <c r="E12" s="24">
        <v>118198.07400000001</v>
      </c>
      <c r="F12" s="24">
        <v>1780.8519999999999</v>
      </c>
      <c r="G12" s="24">
        <v>2008.5</v>
      </c>
      <c r="H12" s="24">
        <v>0</v>
      </c>
      <c r="I12" s="24">
        <v>0</v>
      </c>
      <c r="J12" s="24">
        <v>0</v>
      </c>
      <c r="K12" s="24">
        <v>22519.741999999998</v>
      </c>
      <c r="L12" s="24">
        <v>0</v>
      </c>
      <c r="M12" s="24">
        <v>0</v>
      </c>
      <c r="N12" s="24">
        <v>0</v>
      </c>
      <c r="O12" s="24">
        <v>91877.98000000001</v>
      </c>
      <c r="P12" s="24">
        <v>34323.807000000001</v>
      </c>
      <c r="Q12" s="24">
        <v>0</v>
      </c>
      <c r="R12" s="24">
        <v>11</v>
      </c>
      <c r="S12" s="24">
        <v>0</v>
      </c>
      <c r="T12" s="22">
        <v>0</v>
      </c>
      <c r="U12" s="23"/>
    </row>
    <row r="13" spans="1:21" ht="21.75" hidden="1" customHeight="1">
      <c r="A13" s="20"/>
      <c r="B13" s="21" t="s">
        <v>281</v>
      </c>
      <c r="C13" s="21"/>
      <c r="D13" s="24">
        <v>33000</v>
      </c>
      <c r="E13" s="24">
        <v>32742.151027</v>
      </c>
      <c r="F13" s="24">
        <v>14220.947999999999</v>
      </c>
      <c r="G13" s="24">
        <v>0</v>
      </c>
      <c r="H13" s="24">
        <v>0</v>
      </c>
      <c r="I13" s="24">
        <v>0</v>
      </c>
      <c r="J13" s="24">
        <v>15902.690026999999</v>
      </c>
      <c r="K13" s="24">
        <v>1024.289</v>
      </c>
      <c r="L13" s="24">
        <v>0</v>
      </c>
      <c r="M13" s="24">
        <v>894.22400000000005</v>
      </c>
      <c r="N13" s="24">
        <v>0</v>
      </c>
      <c r="O13" s="24">
        <v>700</v>
      </c>
      <c r="P13" s="24">
        <v>0</v>
      </c>
      <c r="Q13" s="24">
        <v>0</v>
      </c>
      <c r="R13" s="24">
        <v>0</v>
      </c>
      <c r="S13" s="24">
        <v>0</v>
      </c>
      <c r="T13" s="22">
        <v>0</v>
      </c>
      <c r="U13" s="23"/>
    </row>
    <row r="14" spans="1:21" ht="21.75" hidden="1" customHeight="1">
      <c r="A14" s="20"/>
      <c r="B14" s="21" t="s">
        <v>282</v>
      </c>
      <c r="C14" s="21"/>
      <c r="D14" s="22">
        <v>0</v>
      </c>
      <c r="E14" s="24">
        <v>73623.394999999975</v>
      </c>
      <c r="F14" s="24">
        <v>0</v>
      </c>
      <c r="G14" s="24">
        <v>0</v>
      </c>
      <c r="H14" s="24">
        <v>0</v>
      </c>
      <c r="I14" s="24">
        <v>0</v>
      </c>
      <c r="J14" s="24">
        <v>0</v>
      </c>
      <c r="K14" s="24">
        <v>0</v>
      </c>
      <c r="L14" s="24">
        <v>0</v>
      </c>
      <c r="M14" s="24">
        <v>0</v>
      </c>
      <c r="N14" s="24">
        <v>0</v>
      </c>
      <c r="O14" s="24">
        <v>16839.887000000002</v>
      </c>
      <c r="P14" s="24">
        <v>500</v>
      </c>
      <c r="Q14" s="24">
        <v>0</v>
      </c>
      <c r="R14" s="24">
        <v>56783.508000000002</v>
      </c>
      <c r="S14" s="24">
        <v>0</v>
      </c>
      <c r="T14" s="22">
        <v>0</v>
      </c>
      <c r="U14" s="23"/>
    </row>
    <row r="15" spans="1:21" ht="21.75" hidden="1" customHeight="1">
      <c r="A15" s="20"/>
      <c r="B15" s="21" t="s">
        <v>283</v>
      </c>
      <c r="C15" s="21"/>
      <c r="D15" s="24">
        <v>504754</v>
      </c>
      <c r="E15" s="24">
        <v>504636.32569699996</v>
      </c>
      <c r="F15" s="24">
        <v>0</v>
      </c>
      <c r="G15" s="24">
        <v>0</v>
      </c>
      <c r="H15" s="24">
        <v>10894.363999999998</v>
      </c>
      <c r="I15" s="24">
        <v>0</v>
      </c>
      <c r="J15" s="24">
        <v>1312.2352559999999</v>
      </c>
      <c r="K15" s="24">
        <v>9083.9138999999996</v>
      </c>
      <c r="L15" s="24">
        <v>13849.556850000001</v>
      </c>
      <c r="M15" s="24">
        <v>0</v>
      </c>
      <c r="N15" s="24">
        <v>6629.3720000000003</v>
      </c>
      <c r="O15" s="24">
        <v>427655.71069099999</v>
      </c>
      <c r="P15" s="24">
        <v>201397.85</v>
      </c>
      <c r="Q15" s="24">
        <v>58148.205010000005</v>
      </c>
      <c r="R15" s="24">
        <v>35211.173000000003</v>
      </c>
      <c r="S15" s="24">
        <v>0</v>
      </c>
      <c r="T15" s="22">
        <v>0</v>
      </c>
      <c r="U15" s="23"/>
    </row>
    <row r="16" spans="1:21" ht="21.75" hidden="1" customHeight="1">
      <c r="A16" s="20"/>
      <c r="B16" s="21" t="s">
        <v>284</v>
      </c>
      <c r="C16" s="21"/>
      <c r="D16" s="22">
        <v>0</v>
      </c>
      <c r="E16" s="24">
        <v>10327.287000000002</v>
      </c>
      <c r="F16" s="24">
        <v>2212.1959999999999</v>
      </c>
      <c r="G16" s="24">
        <v>0</v>
      </c>
      <c r="H16" s="24">
        <v>0</v>
      </c>
      <c r="I16" s="24">
        <v>0</v>
      </c>
      <c r="J16" s="24">
        <v>0</v>
      </c>
      <c r="K16" s="24">
        <v>901.66099999999994</v>
      </c>
      <c r="L16" s="24">
        <v>0</v>
      </c>
      <c r="M16" s="24">
        <v>0</v>
      </c>
      <c r="N16" s="24">
        <v>0</v>
      </c>
      <c r="O16" s="24">
        <v>7213.43</v>
      </c>
      <c r="P16" s="24">
        <v>7063.326</v>
      </c>
      <c r="Q16" s="24">
        <v>0</v>
      </c>
      <c r="R16" s="24">
        <v>0</v>
      </c>
      <c r="S16" s="24">
        <v>0</v>
      </c>
      <c r="T16" s="22">
        <v>0</v>
      </c>
      <c r="U16" s="23"/>
    </row>
    <row r="17" spans="1:21" ht="21.75" hidden="1" customHeight="1">
      <c r="A17" s="20"/>
      <c r="B17" s="21" t="s">
        <v>285</v>
      </c>
      <c r="C17" s="21"/>
      <c r="D17" s="24">
        <v>638260</v>
      </c>
      <c r="E17" s="24">
        <v>46732.486735999999</v>
      </c>
      <c r="F17" s="24">
        <v>13986.710999999999</v>
      </c>
      <c r="G17" s="24">
        <v>0</v>
      </c>
      <c r="H17" s="24">
        <v>0</v>
      </c>
      <c r="I17" s="24">
        <v>0</v>
      </c>
      <c r="J17" s="24">
        <v>0</v>
      </c>
      <c r="K17" s="24">
        <v>239.88579999999996</v>
      </c>
      <c r="L17" s="24">
        <v>861.45600000000002</v>
      </c>
      <c r="M17" s="24">
        <v>0</v>
      </c>
      <c r="N17" s="24">
        <v>0</v>
      </c>
      <c r="O17" s="24">
        <v>31087.834935999996</v>
      </c>
      <c r="P17" s="24">
        <v>28367.766586999998</v>
      </c>
      <c r="Q17" s="24">
        <v>182.81899999999999</v>
      </c>
      <c r="R17" s="24">
        <v>556.59899999999993</v>
      </c>
      <c r="S17" s="24">
        <v>0</v>
      </c>
      <c r="T17" s="22">
        <v>0</v>
      </c>
      <c r="U17" s="23"/>
    </row>
    <row r="18" spans="1:21" ht="21.75" hidden="1" customHeight="1">
      <c r="A18" s="20"/>
      <c r="B18" s="21" t="s">
        <v>286</v>
      </c>
      <c r="C18" s="21"/>
      <c r="D18" s="22">
        <v>0</v>
      </c>
      <c r="E18" s="24">
        <v>30826.795999999998</v>
      </c>
      <c r="F18" s="24">
        <v>0</v>
      </c>
      <c r="G18" s="24">
        <v>0</v>
      </c>
      <c r="H18" s="24">
        <v>0</v>
      </c>
      <c r="I18" s="24">
        <v>0</v>
      </c>
      <c r="J18" s="24">
        <v>0</v>
      </c>
      <c r="K18" s="24">
        <v>0</v>
      </c>
      <c r="L18" s="24">
        <v>0</v>
      </c>
      <c r="M18" s="24">
        <v>0</v>
      </c>
      <c r="N18" s="24">
        <v>0</v>
      </c>
      <c r="O18" s="24">
        <v>30826.795999999998</v>
      </c>
      <c r="P18" s="24">
        <v>0</v>
      </c>
      <c r="Q18" s="24">
        <v>0</v>
      </c>
      <c r="R18" s="24">
        <v>0</v>
      </c>
      <c r="S18" s="24">
        <v>0</v>
      </c>
      <c r="T18" s="22">
        <v>0</v>
      </c>
      <c r="U18" s="23"/>
    </row>
    <row r="19" spans="1:21" ht="21.75" hidden="1" customHeight="1">
      <c r="A19" s="20"/>
      <c r="B19" s="21" t="s">
        <v>287</v>
      </c>
      <c r="C19" s="21"/>
      <c r="D19" s="24">
        <v>740487</v>
      </c>
      <c r="E19" s="24">
        <v>639506.84680300008</v>
      </c>
      <c r="F19" s="24">
        <v>6223</v>
      </c>
      <c r="G19" s="24">
        <v>0</v>
      </c>
      <c r="H19" s="24">
        <v>0</v>
      </c>
      <c r="I19" s="24">
        <v>0</v>
      </c>
      <c r="J19" s="24">
        <v>86202.425094000006</v>
      </c>
      <c r="K19" s="24">
        <v>0</v>
      </c>
      <c r="L19" s="24">
        <v>0</v>
      </c>
      <c r="M19" s="24">
        <v>0</v>
      </c>
      <c r="N19" s="24">
        <v>2567.3679999999999</v>
      </c>
      <c r="O19" s="24">
        <v>542512.05770899996</v>
      </c>
      <c r="P19" s="24">
        <v>0</v>
      </c>
      <c r="Q19" s="24">
        <v>0</v>
      </c>
      <c r="R19" s="24">
        <v>2001.9960000000001</v>
      </c>
      <c r="S19" s="24">
        <v>0</v>
      </c>
      <c r="T19" s="22">
        <v>0</v>
      </c>
      <c r="U19" s="23"/>
    </row>
    <row r="20" spans="1:21" s="27" customFormat="1" ht="18" customHeight="1">
      <c r="A20" s="243">
        <v>1</v>
      </c>
      <c r="B20" s="18" t="s">
        <v>288</v>
      </c>
      <c r="C20" s="18"/>
      <c r="D20" s="25">
        <v>0</v>
      </c>
      <c r="E20" s="124">
        <v>2138.6089999999999</v>
      </c>
      <c r="F20" s="124">
        <v>0</v>
      </c>
      <c r="G20" s="124">
        <v>0</v>
      </c>
      <c r="H20" s="124">
        <v>0</v>
      </c>
      <c r="I20" s="124">
        <v>0</v>
      </c>
      <c r="J20" s="124">
        <v>0</v>
      </c>
      <c r="K20" s="124">
        <v>0</v>
      </c>
      <c r="L20" s="124">
        <v>0</v>
      </c>
      <c r="M20" s="124">
        <v>0</v>
      </c>
      <c r="N20" s="124">
        <v>0</v>
      </c>
      <c r="O20" s="124">
        <v>2138.6089999999999</v>
      </c>
      <c r="P20" s="124">
        <v>2138.6089999999999</v>
      </c>
      <c r="Q20" s="124">
        <v>0</v>
      </c>
      <c r="R20" s="124">
        <v>0</v>
      </c>
      <c r="S20" s="124">
        <v>0</v>
      </c>
      <c r="T20" s="19">
        <v>0</v>
      </c>
      <c r="U20" s="26"/>
    </row>
    <row r="21" spans="1:21" hidden="1">
      <c r="A21" s="20"/>
      <c r="B21" s="21" t="s">
        <v>183</v>
      </c>
      <c r="C21" s="21"/>
      <c r="D21" s="22"/>
      <c r="E21" s="24">
        <v>2138.6089999999999</v>
      </c>
      <c r="F21" s="24">
        <v>0</v>
      </c>
      <c r="G21" s="24">
        <v>0</v>
      </c>
      <c r="H21" s="24">
        <v>0</v>
      </c>
      <c r="I21" s="24">
        <v>0</v>
      </c>
      <c r="J21" s="24">
        <v>0</v>
      </c>
      <c r="K21" s="24">
        <v>0</v>
      </c>
      <c r="L21" s="24">
        <v>0</v>
      </c>
      <c r="M21" s="24">
        <v>0</v>
      </c>
      <c r="N21" s="24">
        <v>0</v>
      </c>
      <c r="O21" s="24">
        <v>2138.6089999999999</v>
      </c>
      <c r="P21" s="24">
        <v>2138.6089999999999</v>
      </c>
      <c r="Q21" s="24">
        <v>0</v>
      </c>
      <c r="R21" s="24">
        <v>0</v>
      </c>
      <c r="S21" s="24">
        <v>0</v>
      </c>
      <c r="T21" s="22">
        <v>0</v>
      </c>
      <c r="U21" s="23"/>
    </row>
    <row r="22" spans="1:21" s="32" customFormat="1" ht="24.75" hidden="1" customHeight="1">
      <c r="A22" s="28"/>
      <c r="B22" s="29" t="s">
        <v>289</v>
      </c>
      <c r="C22" s="29"/>
      <c r="D22" s="30">
        <v>0</v>
      </c>
      <c r="E22" s="480">
        <v>2138.6089999999999</v>
      </c>
      <c r="F22" s="480">
        <v>0</v>
      </c>
      <c r="G22" s="480">
        <v>0</v>
      </c>
      <c r="H22" s="480">
        <v>0</v>
      </c>
      <c r="I22" s="480">
        <v>0</v>
      </c>
      <c r="J22" s="480">
        <v>0</v>
      </c>
      <c r="K22" s="480">
        <v>0</v>
      </c>
      <c r="L22" s="480">
        <v>0</v>
      </c>
      <c r="M22" s="480">
        <v>0</v>
      </c>
      <c r="N22" s="480">
        <v>0</v>
      </c>
      <c r="O22" s="480">
        <v>2138.6089999999999</v>
      </c>
      <c r="P22" s="480">
        <v>2138.6089999999999</v>
      </c>
      <c r="Q22" s="480">
        <v>0</v>
      </c>
      <c r="R22" s="480">
        <v>0</v>
      </c>
      <c r="S22" s="480">
        <v>0</v>
      </c>
      <c r="T22" s="30">
        <v>0</v>
      </c>
      <c r="U22" s="31"/>
    </row>
    <row r="23" spans="1:21" ht="22.5" hidden="1">
      <c r="A23" s="20"/>
      <c r="B23" s="33" t="s">
        <v>290</v>
      </c>
      <c r="C23" s="34">
        <v>7644698</v>
      </c>
      <c r="D23" s="23"/>
      <c r="E23" s="481">
        <v>190.929</v>
      </c>
      <c r="F23" s="481"/>
      <c r="G23" s="481"/>
      <c r="H23" s="481"/>
      <c r="I23" s="481"/>
      <c r="J23" s="481"/>
      <c r="K23" s="481"/>
      <c r="L23" s="481"/>
      <c r="M23" s="481"/>
      <c r="N23" s="481"/>
      <c r="O23" s="481">
        <v>190.929</v>
      </c>
      <c r="P23" s="481">
        <v>190.929</v>
      </c>
      <c r="Q23" s="481"/>
      <c r="R23" s="481"/>
      <c r="S23" s="481"/>
      <c r="T23" s="23"/>
      <c r="U23" s="23"/>
    </row>
    <row r="24" spans="1:21" ht="22.5" hidden="1">
      <c r="A24" s="20"/>
      <c r="B24" s="33" t="s">
        <v>291</v>
      </c>
      <c r="C24" s="34">
        <v>7603360</v>
      </c>
      <c r="D24" s="23"/>
      <c r="E24" s="481">
        <v>1760.288</v>
      </c>
      <c r="F24" s="481"/>
      <c r="G24" s="481"/>
      <c r="H24" s="481"/>
      <c r="I24" s="481"/>
      <c r="J24" s="481"/>
      <c r="K24" s="481"/>
      <c r="L24" s="481"/>
      <c r="M24" s="481"/>
      <c r="N24" s="481"/>
      <c r="O24" s="481">
        <v>1760.288</v>
      </c>
      <c r="P24" s="481">
        <v>1760.288</v>
      </c>
      <c r="Q24" s="481"/>
      <c r="R24" s="481"/>
      <c r="S24" s="481"/>
      <c r="T24" s="23"/>
      <c r="U24" s="23"/>
    </row>
    <row r="25" spans="1:21" ht="33.75" hidden="1">
      <c r="A25" s="20"/>
      <c r="B25" s="33" t="s">
        <v>292</v>
      </c>
      <c r="C25" s="34">
        <v>7650286</v>
      </c>
      <c r="D25" s="23"/>
      <c r="E25" s="481">
        <v>187.392</v>
      </c>
      <c r="F25" s="481"/>
      <c r="G25" s="481"/>
      <c r="H25" s="481"/>
      <c r="I25" s="481"/>
      <c r="J25" s="481"/>
      <c r="K25" s="481"/>
      <c r="L25" s="481"/>
      <c r="M25" s="481"/>
      <c r="N25" s="481"/>
      <c r="O25" s="481">
        <v>187.392</v>
      </c>
      <c r="P25" s="481">
        <v>187.392</v>
      </c>
      <c r="Q25" s="481"/>
      <c r="R25" s="481"/>
      <c r="S25" s="481"/>
      <c r="T25" s="23"/>
      <c r="U25" s="23"/>
    </row>
    <row r="26" spans="1:21" hidden="1">
      <c r="A26" s="20"/>
      <c r="B26" s="35" t="s">
        <v>287</v>
      </c>
      <c r="C26" s="36"/>
      <c r="D26" s="23"/>
      <c r="E26" s="481"/>
      <c r="F26" s="481"/>
      <c r="G26" s="481"/>
      <c r="H26" s="481"/>
      <c r="I26" s="481"/>
      <c r="J26" s="481"/>
      <c r="K26" s="481"/>
      <c r="L26" s="481"/>
      <c r="M26" s="481"/>
      <c r="N26" s="481"/>
      <c r="O26" s="481"/>
      <c r="P26" s="481"/>
      <c r="Q26" s="481"/>
      <c r="R26" s="481"/>
      <c r="S26" s="481"/>
      <c r="T26" s="23"/>
      <c r="U26" s="23"/>
    </row>
    <row r="27" spans="1:21" s="27" customFormat="1" ht="18.75" customHeight="1">
      <c r="A27" s="243">
        <v>2</v>
      </c>
      <c r="B27" s="18" t="s">
        <v>293</v>
      </c>
      <c r="C27" s="18"/>
      <c r="D27" s="19">
        <v>530871.72699999996</v>
      </c>
      <c r="E27" s="124">
        <v>65664.197</v>
      </c>
      <c r="F27" s="124">
        <v>0</v>
      </c>
      <c r="G27" s="124">
        <v>0</v>
      </c>
      <c r="H27" s="124">
        <v>0</v>
      </c>
      <c r="I27" s="124">
        <v>0</v>
      </c>
      <c r="J27" s="124">
        <v>0</v>
      </c>
      <c r="K27" s="124">
        <v>0</v>
      </c>
      <c r="L27" s="124">
        <v>0</v>
      </c>
      <c r="M27" s="124">
        <v>0</v>
      </c>
      <c r="N27" s="124">
        <v>0</v>
      </c>
      <c r="O27" s="124">
        <v>65355.618999999992</v>
      </c>
      <c r="P27" s="124">
        <v>2934.6</v>
      </c>
      <c r="Q27" s="124">
        <v>0</v>
      </c>
      <c r="R27" s="124">
        <v>308.57799999999997</v>
      </c>
      <c r="S27" s="124">
        <v>0</v>
      </c>
      <c r="T27" s="19">
        <v>0</v>
      </c>
      <c r="U27" s="241"/>
    </row>
    <row r="28" spans="1:21" hidden="1">
      <c r="A28" s="20"/>
      <c r="B28" s="21" t="s">
        <v>183</v>
      </c>
      <c r="C28" s="21"/>
      <c r="D28" s="22">
        <v>530871.72699999996</v>
      </c>
      <c r="E28" s="24">
        <v>65664.197</v>
      </c>
      <c r="F28" s="24">
        <v>0</v>
      </c>
      <c r="G28" s="24">
        <v>0</v>
      </c>
      <c r="H28" s="24">
        <v>0</v>
      </c>
      <c r="I28" s="24">
        <v>0</v>
      </c>
      <c r="J28" s="24">
        <v>0</v>
      </c>
      <c r="K28" s="24">
        <v>0</v>
      </c>
      <c r="L28" s="24">
        <v>0</v>
      </c>
      <c r="M28" s="24">
        <v>0</v>
      </c>
      <c r="N28" s="24">
        <v>0</v>
      </c>
      <c r="O28" s="24">
        <v>65355.618999999992</v>
      </c>
      <c r="P28" s="24">
        <v>2934.6</v>
      </c>
      <c r="Q28" s="24">
        <v>0</v>
      </c>
      <c r="R28" s="24">
        <v>308.57799999999997</v>
      </c>
      <c r="S28" s="24">
        <v>0</v>
      </c>
      <c r="T28" s="22">
        <v>0</v>
      </c>
      <c r="U28" s="23"/>
    </row>
    <row r="29" spans="1:21" s="41" customFormat="1" hidden="1">
      <c r="A29" s="37"/>
      <c r="B29" s="38" t="s">
        <v>294</v>
      </c>
      <c r="C29" s="38"/>
      <c r="D29" s="39">
        <v>871.72699999999998</v>
      </c>
      <c r="E29" s="61">
        <v>904.72699999999998</v>
      </c>
      <c r="F29" s="61">
        <v>0</v>
      </c>
      <c r="G29" s="61">
        <v>0</v>
      </c>
      <c r="H29" s="61">
        <v>0</v>
      </c>
      <c r="I29" s="61">
        <v>0</v>
      </c>
      <c r="J29" s="61">
        <v>0</v>
      </c>
      <c r="K29" s="61">
        <v>0</v>
      </c>
      <c r="L29" s="61">
        <v>0</v>
      </c>
      <c r="M29" s="61">
        <v>0</v>
      </c>
      <c r="N29" s="61">
        <v>0</v>
      </c>
      <c r="O29" s="61">
        <v>904.72699999999998</v>
      </c>
      <c r="P29" s="61">
        <v>0</v>
      </c>
      <c r="Q29" s="61">
        <v>0</v>
      </c>
      <c r="R29" s="61">
        <v>0</v>
      </c>
      <c r="S29" s="61">
        <v>0</v>
      </c>
      <c r="T29" s="39">
        <v>0</v>
      </c>
      <c r="U29" s="40"/>
    </row>
    <row r="30" spans="1:21" ht="22.5" hidden="1">
      <c r="A30" s="20"/>
      <c r="B30" s="21" t="s">
        <v>295</v>
      </c>
      <c r="C30" s="21">
        <v>7619904</v>
      </c>
      <c r="D30" s="22">
        <v>300</v>
      </c>
      <c r="E30" s="24">
        <v>300</v>
      </c>
      <c r="F30" s="24"/>
      <c r="G30" s="24"/>
      <c r="H30" s="24"/>
      <c r="I30" s="24"/>
      <c r="J30" s="24"/>
      <c r="K30" s="24"/>
      <c r="L30" s="24"/>
      <c r="M30" s="24"/>
      <c r="N30" s="24"/>
      <c r="O30" s="24">
        <v>300</v>
      </c>
      <c r="P30" s="24"/>
      <c r="Q30" s="24"/>
      <c r="R30" s="24"/>
      <c r="S30" s="24"/>
      <c r="T30" s="22"/>
      <c r="U30" s="22"/>
    </row>
    <row r="31" spans="1:21" ht="22.5" hidden="1">
      <c r="A31" s="20"/>
      <c r="B31" s="42" t="s">
        <v>296</v>
      </c>
      <c r="C31" s="43">
        <v>7070650</v>
      </c>
      <c r="D31" s="44">
        <v>150.72800000000001</v>
      </c>
      <c r="E31" s="482">
        <v>150.72800000000001</v>
      </c>
      <c r="F31" s="24"/>
      <c r="G31" s="24"/>
      <c r="H31" s="24"/>
      <c r="I31" s="24"/>
      <c r="J31" s="24"/>
      <c r="K31" s="24"/>
      <c r="L31" s="24"/>
      <c r="M31" s="24"/>
      <c r="N31" s="24"/>
      <c r="O31" s="482">
        <v>150.72800000000001</v>
      </c>
      <c r="P31" s="24"/>
      <c r="Q31" s="24"/>
      <c r="R31" s="24"/>
      <c r="S31" s="24"/>
      <c r="T31" s="22"/>
      <c r="U31" s="22"/>
    </row>
    <row r="32" spans="1:21" ht="33.75" hidden="1">
      <c r="A32" s="20"/>
      <c r="B32" s="45" t="s">
        <v>297</v>
      </c>
      <c r="C32" s="43">
        <v>7034294</v>
      </c>
      <c r="D32" s="44">
        <v>184.733</v>
      </c>
      <c r="E32" s="482">
        <v>184.733</v>
      </c>
      <c r="F32" s="24"/>
      <c r="G32" s="24"/>
      <c r="H32" s="24"/>
      <c r="I32" s="24"/>
      <c r="J32" s="24"/>
      <c r="K32" s="24"/>
      <c r="L32" s="24"/>
      <c r="M32" s="24"/>
      <c r="N32" s="24"/>
      <c r="O32" s="482">
        <v>184.733</v>
      </c>
      <c r="P32" s="24"/>
      <c r="Q32" s="24"/>
      <c r="R32" s="24"/>
      <c r="S32" s="24"/>
      <c r="T32" s="22"/>
      <c r="U32" s="22"/>
    </row>
    <row r="33" spans="1:255" ht="56.25" hidden="1">
      <c r="A33" s="20"/>
      <c r="B33" s="33" t="s">
        <v>298</v>
      </c>
      <c r="C33" s="34">
        <v>7636643</v>
      </c>
      <c r="D33" s="44">
        <v>236.26599999999999</v>
      </c>
      <c r="E33" s="482">
        <v>236.26599999999999</v>
      </c>
      <c r="F33" s="24"/>
      <c r="G33" s="24"/>
      <c r="H33" s="24"/>
      <c r="I33" s="24"/>
      <c r="J33" s="24"/>
      <c r="K33" s="24"/>
      <c r="L33" s="24"/>
      <c r="M33" s="24"/>
      <c r="N33" s="24"/>
      <c r="O33" s="482">
        <v>236.26599999999999</v>
      </c>
      <c r="P33" s="24"/>
      <c r="Q33" s="24"/>
      <c r="R33" s="24"/>
      <c r="S33" s="24"/>
      <c r="T33" s="22"/>
      <c r="U33" s="22"/>
    </row>
    <row r="34" spans="1:255" ht="22.5" hidden="1">
      <c r="A34" s="20"/>
      <c r="B34" s="33" t="s">
        <v>299</v>
      </c>
      <c r="C34" s="34">
        <v>7005345</v>
      </c>
      <c r="D34" s="22"/>
      <c r="E34" s="24">
        <v>33</v>
      </c>
      <c r="F34" s="24"/>
      <c r="G34" s="24"/>
      <c r="H34" s="24"/>
      <c r="I34" s="24"/>
      <c r="J34" s="24"/>
      <c r="K34" s="24"/>
      <c r="L34" s="24"/>
      <c r="M34" s="24"/>
      <c r="N34" s="24"/>
      <c r="O34" s="24">
        <v>33</v>
      </c>
      <c r="P34" s="24"/>
      <c r="Q34" s="24"/>
      <c r="R34" s="24"/>
      <c r="S34" s="24"/>
      <c r="T34" s="22"/>
      <c r="U34" s="22"/>
    </row>
    <row r="35" spans="1:255" s="46" customFormat="1" hidden="1">
      <c r="A35" s="37"/>
      <c r="B35" s="38" t="s">
        <v>283</v>
      </c>
      <c r="C35" s="38"/>
      <c r="D35" s="39">
        <v>30000</v>
      </c>
      <c r="E35" s="61">
        <v>61824.869999999995</v>
      </c>
      <c r="F35" s="61">
        <v>0</v>
      </c>
      <c r="G35" s="61">
        <v>0</v>
      </c>
      <c r="H35" s="61">
        <v>0</v>
      </c>
      <c r="I35" s="61">
        <v>0</v>
      </c>
      <c r="J35" s="61">
        <v>0</v>
      </c>
      <c r="K35" s="61">
        <v>0</v>
      </c>
      <c r="L35" s="61">
        <v>0</v>
      </c>
      <c r="M35" s="61">
        <v>0</v>
      </c>
      <c r="N35" s="61">
        <v>0</v>
      </c>
      <c r="O35" s="61">
        <v>61516.291999999994</v>
      </c>
      <c r="P35" s="61">
        <v>0</v>
      </c>
      <c r="Q35" s="61">
        <v>0</v>
      </c>
      <c r="R35" s="61">
        <v>308.57799999999997</v>
      </c>
      <c r="S35" s="61">
        <v>0</v>
      </c>
      <c r="T35" s="39">
        <v>0</v>
      </c>
      <c r="U35" s="39"/>
    </row>
    <row r="36" spans="1:255" s="46" customFormat="1" ht="45" hidden="1">
      <c r="A36" s="37"/>
      <c r="B36" s="33" t="s">
        <v>300</v>
      </c>
      <c r="C36" s="47">
        <v>7622622</v>
      </c>
      <c r="D36" s="44"/>
      <c r="E36" s="24">
        <v>6451</v>
      </c>
      <c r="F36" s="61"/>
      <c r="G36" s="61"/>
      <c r="H36" s="61"/>
      <c r="I36" s="61"/>
      <c r="J36" s="61"/>
      <c r="K36" s="61"/>
      <c r="L36" s="61"/>
      <c r="M36" s="61"/>
      <c r="N36" s="61"/>
      <c r="O36" s="24">
        <v>6451</v>
      </c>
      <c r="P36" s="61"/>
      <c r="Q36" s="61"/>
      <c r="R36" s="61"/>
      <c r="S36" s="61"/>
      <c r="T36" s="39"/>
      <c r="U36" s="39"/>
    </row>
    <row r="37" spans="1:255" s="46" customFormat="1" ht="22.5" hidden="1">
      <c r="A37" s="37"/>
      <c r="B37" s="48" t="s">
        <v>301</v>
      </c>
      <c r="C37" s="47">
        <v>7506280</v>
      </c>
      <c r="D37" s="44">
        <v>5000</v>
      </c>
      <c r="E37" s="24">
        <v>8263.0560000000005</v>
      </c>
      <c r="F37" s="61"/>
      <c r="G37" s="61"/>
      <c r="H37" s="61"/>
      <c r="I37" s="61"/>
      <c r="J37" s="61"/>
      <c r="K37" s="61"/>
      <c r="L37" s="61"/>
      <c r="M37" s="61"/>
      <c r="N37" s="61"/>
      <c r="O37" s="24">
        <v>8263.0560000000005</v>
      </c>
      <c r="P37" s="61"/>
      <c r="Q37" s="61"/>
      <c r="R37" s="61"/>
      <c r="S37" s="61"/>
      <c r="T37" s="39"/>
      <c r="U37" s="39"/>
    </row>
    <row r="38" spans="1:255" s="46" customFormat="1" ht="45" hidden="1">
      <c r="A38" s="37"/>
      <c r="B38" s="48" t="s">
        <v>302</v>
      </c>
      <c r="C38" s="47">
        <v>7506283</v>
      </c>
      <c r="D38" s="44">
        <v>5000</v>
      </c>
      <c r="E38" s="24">
        <v>6643.442</v>
      </c>
      <c r="F38" s="61"/>
      <c r="G38" s="61"/>
      <c r="H38" s="61"/>
      <c r="I38" s="61"/>
      <c r="J38" s="61"/>
      <c r="K38" s="61"/>
      <c r="L38" s="61"/>
      <c r="M38" s="61"/>
      <c r="N38" s="61"/>
      <c r="O38" s="24">
        <v>6643.442</v>
      </c>
      <c r="P38" s="61"/>
      <c r="Q38" s="61"/>
      <c r="R38" s="61"/>
      <c r="S38" s="61"/>
      <c r="T38" s="39"/>
      <c r="U38" s="39"/>
    </row>
    <row r="39" spans="1:255" s="46" customFormat="1" ht="22.5" hidden="1">
      <c r="A39" s="37"/>
      <c r="B39" s="49" t="s">
        <v>303</v>
      </c>
      <c r="C39" s="50">
        <v>7562035</v>
      </c>
      <c r="D39" s="44">
        <v>20000</v>
      </c>
      <c r="E39" s="24">
        <v>16189.115</v>
      </c>
      <c r="F39" s="61"/>
      <c r="G39" s="61"/>
      <c r="H39" s="61"/>
      <c r="I39" s="61"/>
      <c r="J39" s="61"/>
      <c r="K39" s="61"/>
      <c r="L39" s="61"/>
      <c r="M39" s="61"/>
      <c r="N39" s="61"/>
      <c r="O39" s="24">
        <v>16189.115</v>
      </c>
      <c r="P39" s="61"/>
      <c r="Q39" s="61"/>
      <c r="R39" s="61"/>
      <c r="S39" s="61"/>
      <c r="T39" s="39"/>
      <c r="U39" s="39"/>
    </row>
    <row r="40" spans="1:255" s="46" customFormat="1" ht="33.75" hidden="1">
      <c r="A40" s="37"/>
      <c r="B40" s="33" t="s">
        <v>304</v>
      </c>
      <c r="C40" s="34">
        <v>7562040</v>
      </c>
      <c r="D40" s="44"/>
      <c r="E40" s="24">
        <v>23302.18</v>
      </c>
      <c r="F40" s="61"/>
      <c r="G40" s="61"/>
      <c r="H40" s="61"/>
      <c r="I40" s="61"/>
      <c r="J40" s="61"/>
      <c r="K40" s="61"/>
      <c r="L40" s="61"/>
      <c r="M40" s="61"/>
      <c r="N40" s="61"/>
      <c r="O40" s="24">
        <v>23302.18</v>
      </c>
      <c r="P40" s="61"/>
      <c r="Q40" s="61"/>
      <c r="R40" s="61"/>
      <c r="S40" s="61"/>
      <c r="T40" s="39"/>
      <c r="U40" s="39"/>
    </row>
    <row r="41" spans="1:255" s="46" customFormat="1" ht="33.75" hidden="1">
      <c r="A41" s="37"/>
      <c r="B41" s="33" t="s">
        <v>305</v>
      </c>
      <c r="C41" s="51" t="s">
        <v>306</v>
      </c>
      <c r="D41" s="39"/>
      <c r="E41" s="24">
        <v>606.57899999999995</v>
      </c>
      <c r="F41" s="61"/>
      <c r="G41" s="61"/>
      <c r="H41" s="61"/>
      <c r="I41" s="61"/>
      <c r="J41" s="61"/>
      <c r="K41" s="61"/>
      <c r="L41" s="61"/>
      <c r="M41" s="61"/>
      <c r="N41" s="61"/>
      <c r="O41" s="24">
        <v>606.57899999999995</v>
      </c>
      <c r="P41" s="61"/>
      <c r="Q41" s="61"/>
      <c r="R41" s="61"/>
      <c r="S41" s="61"/>
      <c r="T41" s="39"/>
      <c r="U41" s="39"/>
    </row>
    <row r="42" spans="1:255" s="46" customFormat="1" ht="22.5" hidden="1">
      <c r="A42" s="37"/>
      <c r="B42" s="33" t="s">
        <v>307</v>
      </c>
      <c r="C42" s="34">
        <v>7188855</v>
      </c>
      <c r="D42" s="39"/>
      <c r="E42" s="24">
        <v>60.92</v>
      </c>
      <c r="F42" s="61"/>
      <c r="G42" s="61"/>
      <c r="H42" s="61"/>
      <c r="I42" s="61"/>
      <c r="J42" s="61"/>
      <c r="K42" s="61"/>
      <c r="L42" s="61"/>
      <c r="M42" s="61"/>
      <c r="N42" s="61"/>
      <c r="O42" s="24">
        <v>60.92</v>
      </c>
      <c r="P42" s="61"/>
      <c r="Q42" s="61"/>
      <c r="R42" s="61"/>
      <c r="S42" s="61"/>
      <c r="T42" s="39"/>
      <c r="U42" s="39"/>
    </row>
    <row r="43" spans="1:255" ht="33.75" hidden="1">
      <c r="A43" s="20"/>
      <c r="B43" s="33" t="s">
        <v>308</v>
      </c>
      <c r="C43" s="34">
        <v>7492947</v>
      </c>
      <c r="D43" s="22"/>
      <c r="E43" s="24">
        <v>308.57799999999997</v>
      </c>
      <c r="F43" s="24"/>
      <c r="G43" s="24"/>
      <c r="H43" s="24"/>
      <c r="I43" s="24"/>
      <c r="J43" s="24"/>
      <c r="K43" s="24"/>
      <c r="L43" s="24"/>
      <c r="M43" s="24"/>
      <c r="N43" s="24"/>
      <c r="O43" s="24"/>
      <c r="P43" s="24"/>
      <c r="Q43" s="24"/>
      <c r="R43" s="24">
        <v>308.57799999999997</v>
      </c>
      <c r="S43" s="24"/>
      <c r="T43" s="22"/>
      <c r="U43" s="22"/>
    </row>
    <row r="44" spans="1:255" s="46" customFormat="1" hidden="1">
      <c r="A44" s="37"/>
      <c r="B44" s="38" t="s">
        <v>309</v>
      </c>
      <c r="C44" s="38"/>
      <c r="D44" s="39">
        <v>500000</v>
      </c>
      <c r="E44" s="61">
        <v>2934.6</v>
      </c>
      <c r="F44" s="61">
        <v>0</v>
      </c>
      <c r="G44" s="61">
        <v>0</v>
      </c>
      <c r="H44" s="61">
        <v>0</v>
      </c>
      <c r="I44" s="61">
        <v>0</v>
      </c>
      <c r="J44" s="61">
        <v>0</v>
      </c>
      <c r="K44" s="61">
        <v>0</v>
      </c>
      <c r="L44" s="61">
        <v>0</v>
      </c>
      <c r="M44" s="61">
        <v>0</v>
      </c>
      <c r="N44" s="61">
        <v>0</v>
      </c>
      <c r="O44" s="61">
        <v>2934.6</v>
      </c>
      <c r="P44" s="61">
        <v>2934.6</v>
      </c>
      <c r="Q44" s="61">
        <v>0</v>
      </c>
      <c r="R44" s="61">
        <v>0</v>
      </c>
      <c r="S44" s="61">
        <v>0</v>
      </c>
      <c r="T44" s="39">
        <v>0</v>
      </c>
      <c r="U44" s="39"/>
    </row>
    <row r="45" spans="1:255" ht="56.25" hidden="1">
      <c r="A45" s="20"/>
      <c r="B45" s="33" t="s">
        <v>310</v>
      </c>
      <c r="C45" s="34">
        <v>7622621</v>
      </c>
      <c r="D45" s="22">
        <v>500000</v>
      </c>
      <c r="E45" s="24">
        <v>2934.6</v>
      </c>
      <c r="F45" s="24"/>
      <c r="G45" s="24"/>
      <c r="H45" s="24"/>
      <c r="I45" s="24"/>
      <c r="J45" s="24"/>
      <c r="K45" s="24"/>
      <c r="L45" s="24"/>
      <c r="M45" s="24"/>
      <c r="N45" s="24"/>
      <c r="O45" s="24">
        <v>2934.6</v>
      </c>
      <c r="P45" s="24">
        <v>2934.6</v>
      </c>
      <c r="Q45" s="24"/>
      <c r="R45" s="24"/>
      <c r="S45" s="24"/>
      <c r="T45" s="22"/>
      <c r="U45" s="22"/>
    </row>
    <row r="46" spans="1:255" hidden="1">
      <c r="A46" s="52"/>
      <c r="B46" s="35" t="s">
        <v>287</v>
      </c>
      <c r="C46" s="36"/>
      <c r="D46" s="54">
        <v>0</v>
      </c>
      <c r="E46" s="483"/>
      <c r="F46" s="483"/>
      <c r="G46" s="483"/>
      <c r="H46" s="483"/>
      <c r="I46" s="483"/>
      <c r="J46" s="483"/>
      <c r="K46" s="483"/>
      <c r="L46" s="483"/>
      <c r="M46" s="483"/>
      <c r="N46" s="483"/>
      <c r="O46" s="483"/>
      <c r="P46" s="483"/>
      <c r="Q46" s="483"/>
      <c r="R46" s="483"/>
      <c r="S46" s="483"/>
      <c r="T46" s="54"/>
      <c r="U46" s="54"/>
    </row>
    <row r="47" spans="1:255" s="497" customFormat="1" ht="31.5">
      <c r="A47" s="73">
        <v>3</v>
      </c>
      <c r="B47" s="72" t="s">
        <v>311</v>
      </c>
      <c r="C47" s="73"/>
      <c r="D47" s="133">
        <v>82.897000000000006</v>
      </c>
      <c r="E47" s="498">
        <v>82.897000000000006</v>
      </c>
      <c r="F47" s="498">
        <v>0</v>
      </c>
      <c r="G47" s="498">
        <v>0</v>
      </c>
      <c r="H47" s="498">
        <v>0</v>
      </c>
      <c r="I47" s="498">
        <v>0</v>
      </c>
      <c r="J47" s="498">
        <v>0</v>
      </c>
      <c r="K47" s="498">
        <v>0</v>
      </c>
      <c r="L47" s="498">
        <v>0</v>
      </c>
      <c r="M47" s="498">
        <v>0</v>
      </c>
      <c r="N47" s="498">
        <v>0</v>
      </c>
      <c r="O47" s="498">
        <v>82.897000000000006</v>
      </c>
      <c r="P47" s="498">
        <v>0</v>
      </c>
      <c r="Q47" s="498">
        <v>0</v>
      </c>
      <c r="R47" s="498">
        <v>0</v>
      </c>
      <c r="S47" s="498">
        <v>0</v>
      </c>
      <c r="T47" s="133">
        <v>0</v>
      </c>
      <c r="U47" s="478"/>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c r="AU47" s="496"/>
      <c r="AV47" s="496"/>
      <c r="AW47" s="496"/>
      <c r="AX47" s="496"/>
      <c r="AY47" s="496"/>
      <c r="AZ47" s="496"/>
      <c r="BA47" s="496"/>
      <c r="BB47" s="496"/>
      <c r="BC47" s="496"/>
      <c r="BD47" s="496"/>
      <c r="BE47" s="496"/>
      <c r="BF47" s="496"/>
      <c r="BG47" s="496"/>
      <c r="BH47" s="496"/>
      <c r="BI47" s="496"/>
      <c r="BJ47" s="496"/>
      <c r="BK47" s="496"/>
      <c r="BL47" s="496"/>
      <c r="BM47" s="496"/>
      <c r="BN47" s="496"/>
      <c r="BO47" s="496"/>
      <c r="BP47" s="496"/>
      <c r="BQ47" s="496"/>
      <c r="BR47" s="496"/>
      <c r="BS47" s="496"/>
      <c r="BT47" s="496"/>
      <c r="BU47" s="496"/>
      <c r="BV47" s="496"/>
      <c r="BW47" s="496"/>
      <c r="BX47" s="496"/>
      <c r="BY47" s="496"/>
      <c r="BZ47" s="496"/>
      <c r="CA47" s="496"/>
      <c r="CB47" s="496"/>
      <c r="CC47" s="496"/>
      <c r="CD47" s="496"/>
      <c r="CE47" s="496"/>
      <c r="CF47" s="496"/>
      <c r="CG47" s="496"/>
      <c r="CH47" s="496"/>
      <c r="CI47" s="496"/>
      <c r="CJ47" s="496"/>
      <c r="CK47" s="496"/>
      <c r="CL47" s="496"/>
      <c r="CM47" s="496"/>
      <c r="CN47" s="496"/>
      <c r="CO47" s="496"/>
      <c r="CP47" s="496"/>
      <c r="CQ47" s="496"/>
      <c r="CR47" s="496"/>
      <c r="CS47" s="496"/>
      <c r="CT47" s="496"/>
      <c r="CU47" s="496"/>
      <c r="CV47" s="496"/>
      <c r="CW47" s="496"/>
      <c r="CX47" s="496"/>
      <c r="CY47" s="496"/>
      <c r="CZ47" s="496"/>
      <c r="DA47" s="496"/>
      <c r="DB47" s="496"/>
      <c r="DC47" s="496"/>
      <c r="DD47" s="496"/>
      <c r="DE47" s="496"/>
      <c r="DF47" s="496"/>
      <c r="DG47" s="496"/>
      <c r="DH47" s="496"/>
      <c r="DI47" s="496"/>
      <c r="DJ47" s="496"/>
      <c r="DK47" s="496"/>
      <c r="DL47" s="496"/>
      <c r="DM47" s="496"/>
      <c r="DN47" s="496"/>
      <c r="DO47" s="496"/>
      <c r="DP47" s="496"/>
      <c r="DQ47" s="496"/>
      <c r="DR47" s="496"/>
      <c r="DS47" s="496"/>
      <c r="DT47" s="496"/>
      <c r="DU47" s="496"/>
      <c r="DV47" s="496"/>
      <c r="DW47" s="496"/>
      <c r="DX47" s="496"/>
      <c r="DY47" s="496"/>
      <c r="DZ47" s="496"/>
      <c r="EA47" s="496"/>
      <c r="EB47" s="496"/>
      <c r="EC47" s="496"/>
      <c r="ED47" s="496"/>
      <c r="EE47" s="496"/>
      <c r="EF47" s="496"/>
      <c r="EG47" s="496"/>
      <c r="EH47" s="496"/>
      <c r="EI47" s="496"/>
      <c r="EJ47" s="496"/>
      <c r="EK47" s="496"/>
      <c r="EL47" s="496"/>
      <c r="EM47" s="496"/>
      <c r="EN47" s="496"/>
      <c r="EO47" s="496"/>
      <c r="EP47" s="496"/>
      <c r="EQ47" s="496"/>
      <c r="ER47" s="496"/>
      <c r="ES47" s="496"/>
      <c r="ET47" s="496"/>
      <c r="EU47" s="496"/>
      <c r="EV47" s="496"/>
      <c r="EW47" s="496"/>
      <c r="EX47" s="496"/>
      <c r="EY47" s="496"/>
      <c r="EZ47" s="496"/>
      <c r="FA47" s="496"/>
      <c r="FB47" s="496"/>
      <c r="FC47" s="496"/>
      <c r="FD47" s="496"/>
      <c r="FE47" s="496"/>
      <c r="FF47" s="496"/>
      <c r="FG47" s="496"/>
      <c r="FH47" s="496"/>
      <c r="FI47" s="496"/>
      <c r="FJ47" s="496"/>
      <c r="FK47" s="496"/>
      <c r="FL47" s="496"/>
      <c r="FM47" s="496"/>
      <c r="FN47" s="496"/>
      <c r="FO47" s="496"/>
      <c r="FP47" s="496"/>
      <c r="FQ47" s="496"/>
      <c r="FR47" s="496"/>
      <c r="FS47" s="496"/>
      <c r="FT47" s="496"/>
      <c r="FU47" s="496"/>
      <c r="FV47" s="496"/>
      <c r="FW47" s="496"/>
      <c r="FX47" s="496"/>
      <c r="FY47" s="496"/>
      <c r="FZ47" s="496"/>
      <c r="GA47" s="496"/>
      <c r="GB47" s="496"/>
      <c r="GC47" s="496"/>
      <c r="GD47" s="496"/>
      <c r="GE47" s="496"/>
      <c r="GF47" s="496"/>
      <c r="GG47" s="496"/>
      <c r="GH47" s="496"/>
      <c r="GI47" s="496"/>
      <c r="GJ47" s="496"/>
      <c r="GK47" s="496"/>
      <c r="GL47" s="496"/>
      <c r="GM47" s="496"/>
      <c r="GN47" s="496"/>
      <c r="GO47" s="496"/>
      <c r="GP47" s="496"/>
      <c r="GQ47" s="496"/>
      <c r="GR47" s="496"/>
      <c r="GS47" s="496"/>
      <c r="GT47" s="496"/>
      <c r="GU47" s="496"/>
      <c r="GV47" s="496"/>
      <c r="GW47" s="496"/>
      <c r="GX47" s="496"/>
      <c r="GY47" s="496"/>
      <c r="GZ47" s="496"/>
      <c r="HA47" s="496"/>
      <c r="HB47" s="496"/>
      <c r="HC47" s="496"/>
      <c r="HD47" s="496"/>
      <c r="HE47" s="496"/>
      <c r="HF47" s="496"/>
      <c r="HG47" s="496"/>
      <c r="HH47" s="496"/>
      <c r="HI47" s="496"/>
      <c r="HJ47" s="496"/>
      <c r="HK47" s="496"/>
      <c r="HL47" s="496"/>
      <c r="HM47" s="496"/>
      <c r="HN47" s="496"/>
      <c r="HO47" s="496"/>
      <c r="HP47" s="496"/>
      <c r="HQ47" s="496"/>
      <c r="HR47" s="496"/>
      <c r="HS47" s="496"/>
      <c r="HT47" s="496"/>
      <c r="HU47" s="496"/>
      <c r="HV47" s="496"/>
      <c r="HW47" s="496"/>
      <c r="HX47" s="496"/>
      <c r="HY47" s="496"/>
      <c r="HZ47" s="496"/>
      <c r="IA47" s="496"/>
      <c r="IB47" s="496"/>
      <c r="IC47" s="496"/>
      <c r="ID47" s="496"/>
      <c r="IE47" s="496"/>
      <c r="IF47" s="496"/>
      <c r="IG47" s="496"/>
      <c r="IH47" s="496"/>
      <c r="II47" s="496"/>
      <c r="IJ47" s="496"/>
      <c r="IK47" s="496"/>
      <c r="IL47" s="496"/>
      <c r="IM47" s="496"/>
      <c r="IN47" s="496"/>
      <c r="IO47" s="496"/>
      <c r="IP47" s="496"/>
      <c r="IQ47" s="496"/>
      <c r="IR47" s="496"/>
      <c r="IS47" s="496"/>
      <c r="IT47" s="496"/>
      <c r="IU47" s="496"/>
    </row>
    <row r="48" spans="1:255" s="57" customFormat="1" hidden="1">
      <c r="A48" s="53"/>
      <c r="B48" s="495" t="s">
        <v>183</v>
      </c>
      <c r="C48" s="53"/>
      <c r="D48" s="55">
        <v>82.897000000000006</v>
      </c>
      <c r="E48" s="484">
        <v>82.897000000000006</v>
      </c>
      <c r="F48" s="484">
        <v>0</v>
      </c>
      <c r="G48" s="484">
        <v>0</v>
      </c>
      <c r="H48" s="484">
        <v>0</v>
      </c>
      <c r="I48" s="484">
        <v>0</v>
      </c>
      <c r="J48" s="484">
        <v>0</v>
      </c>
      <c r="K48" s="484">
        <v>0</v>
      </c>
      <c r="L48" s="484">
        <v>0</v>
      </c>
      <c r="M48" s="484">
        <v>0</v>
      </c>
      <c r="N48" s="484">
        <v>0</v>
      </c>
      <c r="O48" s="484">
        <v>82.897000000000006</v>
      </c>
      <c r="P48" s="484">
        <v>0</v>
      </c>
      <c r="Q48" s="484">
        <v>0</v>
      </c>
      <c r="R48" s="484">
        <v>0</v>
      </c>
      <c r="S48" s="484">
        <v>0</v>
      </c>
      <c r="T48" s="55">
        <v>0</v>
      </c>
      <c r="U48" s="56"/>
      <c r="V48" s="36"/>
      <c r="W48" s="36"/>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row>
    <row r="49" spans="1:255" s="62" customFormat="1" hidden="1">
      <c r="A49" s="58"/>
      <c r="B49" s="59" t="s">
        <v>294</v>
      </c>
      <c r="C49" s="58"/>
      <c r="D49" s="60">
        <v>82.897000000000006</v>
      </c>
      <c r="E49" s="485">
        <v>82.897000000000006</v>
      </c>
      <c r="F49" s="61">
        <v>0</v>
      </c>
      <c r="G49" s="61">
        <v>0</v>
      </c>
      <c r="H49" s="61">
        <v>0</v>
      </c>
      <c r="I49" s="61">
        <v>0</v>
      </c>
      <c r="J49" s="61">
        <v>0</v>
      </c>
      <c r="K49" s="61">
        <v>0</v>
      </c>
      <c r="L49" s="61">
        <v>0</v>
      </c>
      <c r="M49" s="61">
        <v>0</v>
      </c>
      <c r="N49" s="61">
        <v>0</v>
      </c>
      <c r="O49" s="485">
        <v>82.897000000000006</v>
      </c>
      <c r="P49" s="61">
        <v>0</v>
      </c>
      <c r="Q49" s="61">
        <v>0</v>
      </c>
      <c r="R49" s="61">
        <v>0</v>
      </c>
      <c r="S49" s="61">
        <v>0</v>
      </c>
      <c r="T49" s="39">
        <v>0</v>
      </c>
      <c r="U49" s="39"/>
      <c r="V49" s="61"/>
      <c r="W49" s="61"/>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c r="IB49" s="58"/>
      <c r="IC49" s="58"/>
      <c r="ID49" s="58"/>
      <c r="IE49" s="58"/>
      <c r="IF49" s="58"/>
      <c r="IG49" s="58"/>
      <c r="IH49" s="58"/>
      <c r="II49" s="58"/>
      <c r="IJ49" s="58"/>
      <c r="IK49" s="58"/>
      <c r="IL49" s="58"/>
      <c r="IM49" s="58"/>
      <c r="IN49" s="58"/>
      <c r="IO49" s="58"/>
      <c r="IP49" s="58"/>
      <c r="IQ49" s="58"/>
      <c r="IR49" s="58"/>
      <c r="IS49" s="58"/>
      <c r="IT49" s="58"/>
      <c r="IU49" s="58"/>
    </row>
    <row r="50" spans="1:255" ht="33.75" hidden="1">
      <c r="A50" s="34"/>
      <c r="B50" s="63" t="s">
        <v>312</v>
      </c>
      <c r="C50" s="34">
        <v>7073906</v>
      </c>
      <c r="D50" s="44">
        <v>82.897000000000006</v>
      </c>
      <c r="E50" s="482">
        <v>82.897000000000006</v>
      </c>
      <c r="F50" s="486"/>
      <c r="G50" s="486"/>
      <c r="H50" s="486"/>
      <c r="I50" s="486"/>
      <c r="J50" s="486"/>
      <c r="K50" s="486"/>
      <c r="L50" s="486"/>
      <c r="M50" s="486"/>
      <c r="N50" s="486"/>
      <c r="O50" s="482">
        <v>82.897000000000006</v>
      </c>
      <c r="P50" s="486"/>
      <c r="Q50" s="486"/>
      <c r="R50" s="486"/>
      <c r="S50" s="486"/>
      <c r="T50" s="64"/>
      <c r="U50" s="6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row>
    <row r="51" spans="1:255" hidden="1">
      <c r="A51" s="36"/>
      <c r="B51" s="35" t="s">
        <v>287</v>
      </c>
      <c r="C51" s="36"/>
      <c r="D51" s="65">
        <v>0</v>
      </c>
      <c r="E51" s="487"/>
      <c r="F51" s="488"/>
      <c r="G51" s="488"/>
      <c r="H51" s="488"/>
      <c r="I51" s="488"/>
      <c r="J51" s="488"/>
      <c r="K51" s="488"/>
      <c r="L51" s="488"/>
      <c r="M51" s="488"/>
      <c r="N51" s="488"/>
      <c r="O51" s="487"/>
      <c r="P51" s="488"/>
      <c r="Q51" s="488"/>
      <c r="R51" s="488"/>
      <c r="S51" s="488"/>
      <c r="T51" s="56"/>
      <c r="U51" s="5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row>
    <row r="52" spans="1:255" s="27" customFormat="1" ht="10.5">
      <c r="A52" s="243">
        <v>4</v>
      </c>
      <c r="B52" s="18" t="s">
        <v>313</v>
      </c>
      <c r="C52" s="18"/>
      <c r="D52" s="19">
        <v>12030</v>
      </c>
      <c r="E52" s="124">
        <v>14302.968000000001</v>
      </c>
      <c r="F52" s="124">
        <v>0</v>
      </c>
      <c r="G52" s="124">
        <v>0</v>
      </c>
      <c r="H52" s="124">
        <v>14302.968000000001</v>
      </c>
      <c r="I52" s="124">
        <v>0</v>
      </c>
      <c r="J52" s="124">
        <v>0</v>
      </c>
      <c r="K52" s="124">
        <v>0</v>
      </c>
      <c r="L52" s="124">
        <v>0</v>
      </c>
      <c r="M52" s="124">
        <v>0</v>
      </c>
      <c r="N52" s="124">
        <v>0</v>
      </c>
      <c r="O52" s="124">
        <v>0</v>
      </c>
      <c r="P52" s="124">
        <v>0</v>
      </c>
      <c r="Q52" s="124">
        <v>0</v>
      </c>
      <c r="R52" s="124">
        <v>0</v>
      </c>
      <c r="S52" s="124">
        <v>0</v>
      </c>
      <c r="T52" s="19">
        <v>0</v>
      </c>
      <c r="U52" s="241"/>
    </row>
    <row r="53" spans="1:255" s="27" customFormat="1" hidden="1">
      <c r="A53" s="243"/>
      <c r="B53" s="21" t="s">
        <v>183</v>
      </c>
      <c r="C53" s="18"/>
      <c r="D53" s="22">
        <v>12030</v>
      </c>
      <c r="E53" s="24">
        <v>14302.968000000001</v>
      </c>
      <c r="F53" s="24">
        <v>0</v>
      </c>
      <c r="G53" s="24">
        <v>0</v>
      </c>
      <c r="H53" s="24">
        <v>14302.968000000001</v>
      </c>
      <c r="I53" s="24">
        <v>0</v>
      </c>
      <c r="J53" s="24">
        <v>0</v>
      </c>
      <c r="K53" s="24">
        <v>0</v>
      </c>
      <c r="L53" s="24">
        <v>0</v>
      </c>
      <c r="M53" s="24">
        <v>0</v>
      </c>
      <c r="N53" s="24">
        <v>0</v>
      </c>
      <c r="O53" s="24">
        <v>0</v>
      </c>
      <c r="P53" s="24">
        <v>0</v>
      </c>
      <c r="Q53" s="24">
        <v>0</v>
      </c>
      <c r="R53" s="24">
        <v>0</v>
      </c>
      <c r="S53" s="24">
        <v>0</v>
      </c>
      <c r="T53" s="22">
        <v>0</v>
      </c>
      <c r="U53" s="241"/>
    </row>
    <row r="54" spans="1:255" s="46" customFormat="1" hidden="1">
      <c r="A54" s="37"/>
      <c r="B54" s="38" t="s">
        <v>294</v>
      </c>
      <c r="C54" s="38"/>
      <c r="D54" s="39">
        <v>7030</v>
      </c>
      <c r="E54" s="61">
        <v>9341.81</v>
      </c>
      <c r="F54" s="61">
        <v>0</v>
      </c>
      <c r="G54" s="61">
        <v>0</v>
      </c>
      <c r="H54" s="61">
        <v>9341.81</v>
      </c>
      <c r="I54" s="61">
        <v>0</v>
      </c>
      <c r="J54" s="61">
        <v>0</v>
      </c>
      <c r="K54" s="61">
        <v>0</v>
      </c>
      <c r="L54" s="61">
        <v>0</v>
      </c>
      <c r="M54" s="61">
        <v>0</v>
      </c>
      <c r="N54" s="61">
        <v>0</v>
      </c>
      <c r="O54" s="61">
        <v>0</v>
      </c>
      <c r="P54" s="61">
        <v>0</v>
      </c>
      <c r="Q54" s="61">
        <v>0</v>
      </c>
      <c r="R54" s="61">
        <v>0</v>
      </c>
      <c r="S54" s="61">
        <v>0</v>
      </c>
      <c r="T54" s="39">
        <v>0</v>
      </c>
      <c r="U54" s="40"/>
    </row>
    <row r="55" spans="1:255" ht="22.5" hidden="1">
      <c r="A55" s="20"/>
      <c r="B55" s="21" t="s">
        <v>314</v>
      </c>
      <c r="C55" s="21">
        <v>7004686</v>
      </c>
      <c r="D55" s="22">
        <v>30</v>
      </c>
      <c r="E55" s="24">
        <v>30</v>
      </c>
      <c r="F55" s="24"/>
      <c r="G55" s="24"/>
      <c r="H55" s="24">
        <v>30</v>
      </c>
      <c r="I55" s="24"/>
      <c r="J55" s="24"/>
      <c r="K55" s="24"/>
      <c r="L55" s="24"/>
      <c r="M55" s="24"/>
      <c r="N55" s="24"/>
      <c r="O55" s="24"/>
      <c r="P55" s="24"/>
      <c r="Q55" s="24"/>
      <c r="R55" s="24"/>
      <c r="S55" s="24"/>
      <c r="T55" s="22"/>
      <c r="U55" s="22"/>
    </row>
    <row r="56" spans="1:255" ht="22.5" hidden="1">
      <c r="A56" s="20"/>
      <c r="B56" s="21" t="s">
        <v>315</v>
      </c>
      <c r="C56" s="21">
        <v>7004686</v>
      </c>
      <c r="D56" s="22">
        <v>7000</v>
      </c>
      <c r="E56" s="24">
        <v>7000</v>
      </c>
      <c r="F56" s="24"/>
      <c r="G56" s="24"/>
      <c r="H56" s="24">
        <v>7000</v>
      </c>
      <c r="I56" s="24"/>
      <c r="J56" s="24"/>
      <c r="K56" s="24"/>
      <c r="L56" s="24"/>
      <c r="M56" s="24"/>
      <c r="N56" s="24"/>
      <c r="O56" s="24"/>
      <c r="P56" s="24"/>
      <c r="Q56" s="24"/>
      <c r="R56" s="24"/>
      <c r="S56" s="24"/>
      <c r="T56" s="22"/>
      <c r="U56" s="22"/>
    </row>
    <row r="57" spans="1:255" ht="22.5" hidden="1">
      <c r="A57" s="20"/>
      <c r="B57" s="33" t="s">
        <v>316</v>
      </c>
      <c r="C57" s="21">
        <v>7004686</v>
      </c>
      <c r="D57" s="44"/>
      <c r="E57" s="24">
        <v>811.81</v>
      </c>
      <c r="F57" s="24"/>
      <c r="G57" s="24"/>
      <c r="H57" s="24">
        <v>811.81</v>
      </c>
      <c r="I57" s="24"/>
      <c r="J57" s="24"/>
      <c r="K57" s="24"/>
      <c r="L57" s="24"/>
      <c r="M57" s="24"/>
      <c r="N57" s="24"/>
      <c r="O57" s="24"/>
      <c r="P57" s="24"/>
      <c r="Q57" s="24"/>
      <c r="R57" s="24"/>
      <c r="S57" s="24"/>
      <c r="T57" s="22"/>
      <c r="U57" s="22"/>
    </row>
    <row r="58" spans="1:255" ht="33.75" hidden="1">
      <c r="A58" s="20"/>
      <c r="B58" s="33" t="s">
        <v>317</v>
      </c>
      <c r="C58" s="21">
        <v>7004686</v>
      </c>
      <c r="D58" s="44"/>
      <c r="E58" s="24">
        <v>1500</v>
      </c>
      <c r="F58" s="24"/>
      <c r="G58" s="24"/>
      <c r="H58" s="24">
        <v>1500</v>
      </c>
      <c r="I58" s="24"/>
      <c r="J58" s="24"/>
      <c r="K58" s="24"/>
      <c r="L58" s="24"/>
      <c r="M58" s="24"/>
      <c r="N58" s="24"/>
      <c r="O58" s="24"/>
      <c r="P58" s="24"/>
      <c r="Q58" s="24"/>
      <c r="R58" s="24"/>
      <c r="S58" s="24"/>
      <c r="T58" s="22"/>
      <c r="U58" s="22"/>
    </row>
    <row r="59" spans="1:255" s="46" customFormat="1" hidden="1">
      <c r="A59" s="37"/>
      <c r="B59" s="38" t="s">
        <v>283</v>
      </c>
      <c r="C59" s="38"/>
      <c r="D59" s="39">
        <v>5000</v>
      </c>
      <c r="E59" s="61">
        <v>4961.1580000000004</v>
      </c>
      <c r="F59" s="61">
        <v>0</v>
      </c>
      <c r="G59" s="61">
        <v>0</v>
      </c>
      <c r="H59" s="61">
        <v>4961.1580000000004</v>
      </c>
      <c r="I59" s="61">
        <v>0</v>
      </c>
      <c r="J59" s="61">
        <v>0</v>
      </c>
      <c r="K59" s="61">
        <v>0</v>
      </c>
      <c r="L59" s="61">
        <v>0</v>
      </c>
      <c r="M59" s="61">
        <v>0</v>
      </c>
      <c r="N59" s="61">
        <v>0</v>
      </c>
      <c r="O59" s="61">
        <v>0</v>
      </c>
      <c r="P59" s="61">
        <v>0</v>
      </c>
      <c r="Q59" s="61">
        <v>0</v>
      </c>
      <c r="R59" s="61">
        <v>0</v>
      </c>
      <c r="S59" s="61">
        <v>0</v>
      </c>
      <c r="T59" s="39">
        <v>0</v>
      </c>
      <c r="U59" s="39"/>
    </row>
    <row r="60" spans="1:255" ht="56.25" hidden="1">
      <c r="A60" s="20"/>
      <c r="B60" s="48" t="s">
        <v>318</v>
      </c>
      <c r="C60" s="21">
        <v>7004686</v>
      </c>
      <c r="D60" s="22">
        <v>5000</v>
      </c>
      <c r="E60" s="24">
        <v>4961.1580000000004</v>
      </c>
      <c r="F60" s="24"/>
      <c r="G60" s="24"/>
      <c r="H60" s="24">
        <v>4961.1580000000004</v>
      </c>
      <c r="I60" s="24"/>
      <c r="J60" s="24"/>
      <c r="K60" s="24"/>
      <c r="L60" s="24"/>
      <c r="M60" s="24"/>
      <c r="N60" s="24"/>
      <c r="O60" s="24"/>
      <c r="P60" s="24"/>
      <c r="Q60" s="24"/>
      <c r="R60" s="24"/>
      <c r="S60" s="24"/>
      <c r="T60" s="22"/>
      <c r="U60" s="22"/>
    </row>
    <row r="61" spans="1:255" hidden="1">
      <c r="A61" s="20"/>
      <c r="B61" s="35" t="s">
        <v>287</v>
      </c>
      <c r="C61" s="21"/>
      <c r="D61" s="22">
        <v>0</v>
      </c>
      <c r="E61" s="24"/>
      <c r="F61" s="24"/>
      <c r="G61" s="24"/>
      <c r="H61" s="24"/>
      <c r="I61" s="24"/>
      <c r="J61" s="24"/>
      <c r="K61" s="24"/>
      <c r="L61" s="24"/>
      <c r="M61" s="24"/>
      <c r="N61" s="24"/>
      <c r="O61" s="24"/>
      <c r="P61" s="24"/>
      <c r="Q61" s="24"/>
      <c r="R61" s="24"/>
      <c r="S61" s="24"/>
      <c r="T61" s="22"/>
      <c r="U61" s="22"/>
    </row>
    <row r="62" spans="1:255" s="27" customFormat="1" ht="10.5">
      <c r="A62" s="243">
        <v>5</v>
      </c>
      <c r="B62" s="18" t="s">
        <v>319</v>
      </c>
      <c r="C62" s="18"/>
      <c r="D62" s="19">
        <v>25491</v>
      </c>
      <c r="E62" s="124">
        <v>31131.720316999999</v>
      </c>
      <c r="F62" s="124">
        <v>0</v>
      </c>
      <c r="G62" s="124">
        <v>0</v>
      </c>
      <c r="H62" s="124">
        <v>5933.2059999999983</v>
      </c>
      <c r="I62" s="124">
        <v>0</v>
      </c>
      <c r="J62" s="124">
        <v>0</v>
      </c>
      <c r="K62" s="124">
        <v>0</v>
      </c>
      <c r="L62" s="124">
        <v>0</v>
      </c>
      <c r="M62" s="124">
        <v>0</v>
      </c>
      <c r="N62" s="124">
        <v>0</v>
      </c>
      <c r="O62" s="124">
        <v>25198.514317000001</v>
      </c>
      <c r="P62" s="124">
        <v>25106.68</v>
      </c>
      <c r="Q62" s="124">
        <v>91.834316999999999</v>
      </c>
      <c r="R62" s="124">
        <v>0</v>
      </c>
      <c r="S62" s="124">
        <v>0</v>
      </c>
      <c r="T62" s="19">
        <v>0</v>
      </c>
      <c r="U62" s="241"/>
    </row>
    <row r="63" spans="1:255" s="27" customFormat="1" hidden="1">
      <c r="A63" s="243"/>
      <c r="B63" s="21" t="s">
        <v>183</v>
      </c>
      <c r="C63" s="18"/>
      <c r="D63" s="22">
        <v>25491</v>
      </c>
      <c r="E63" s="24">
        <v>31131.720316999999</v>
      </c>
      <c r="F63" s="24">
        <v>0</v>
      </c>
      <c r="G63" s="24">
        <v>0</v>
      </c>
      <c r="H63" s="24">
        <v>5933.2059999999983</v>
      </c>
      <c r="I63" s="24">
        <v>0</v>
      </c>
      <c r="J63" s="24">
        <v>0</v>
      </c>
      <c r="K63" s="24">
        <v>0</v>
      </c>
      <c r="L63" s="24">
        <v>0</v>
      </c>
      <c r="M63" s="24">
        <v>0</v>
      </c>
      <c r="N63" s="24">
        <v>0</v>
      </c>
      <c r="O63" s="24">
        <v>25198.514317000001</v>
      </c>
      <c r="P63" s="24">
        <v>25106.68</v>
      </c>
      <c r="Q63" s="24">
        <v>91.834316999999999</v>
      </c>
      <c r="R63" s="24">
        <v>0</v>
      </c>
      <c r="S63" s="24">
        <v>0</v>
      </c>
      <c r="T63" s="22">
        <v>0</v>
      </c>
      <c r="U63" s="19"/>
    </row>
    <row r="64" spans="1:255" s="46" customFormat="1" hidden="1">
      <c r="A64" s="37"/>
      <c r="B64" s="38" t="s">
        <v>283</v>
      </c>
      <c r="C64" s="38"/>
      <c r="D64" s="39">
        <v>25491</v>
      </c>
      <c r="E64" s="61">
        <v>31131.720316999999</v>
      </c>
      <c r="F64" s="61">
        <v>0</v>
      </c>
      <c r="G64" s="61">
        <v>0</v>
      </c>
      <c r="H64" s="61">
        <v>5933.2059999999983</v>
      </c>
      <c r="I64" s="61">
        <v>0</v>
      </c>
      <c r="J64" s="61">
        <v>0</v>
      </c>
      <c r="K64" s="61">
        <v>0</v>
      </c>
      <c r="L64" s="61">
        <v>0</v>
      </c>
      <c r="M64" s="61">
        <v>0</v>
      </c>
      <c r="N64" s="61">
        <v>0</v>
      </c>
      <c r="O64" s="61">
        <v>25198.514317000001</v>
      </c>
      <c r="P64" s="61">
        <v>25106.68</v>
      </c>
      <c r="Q64" s="61">
        <v>91.834316999999999</v>
      </c>
      <c r="R64" s="61">
        <v>0</v>
      </c>
      <c r="S64" s="61">
        <v>0</v>
      </c>
      <c r="T64" s="39">
        <v>0</v>
      </c>
      <c r="U64" s="39"/>
    </row>
    <row r="65" spans="1:21" s="27" customFormat="1" ht="33.75" hidden="1">
      <c r="A65" s="243"/>
      <c r="B65" s="67" t="s">
        <v>320</v>
      </c>
      <c r="C65" s="68">
        <v>7004686</v>
      </c>
      <c r="D65" s="22">
        <v>25491</v>
      </c>
      <c r="E65" s="24">
        <v>31039.885999999999</v>
      </c>
      <c r="F65" s="124"/>
      <c r="G65" s="124"/>
      <c r="H65" s="24">
        <v>5933.2059999999983</v>
      </c>
      <c r="I65" s="124"/>
      <c r="J65" s="124"/>
      <c r="K65" s="124"/>
      <c r="L65" s="124"/>
      <c r="M65" s="124"/>
      <c r="N65" s="124"/>
      <c r="O65" s="24">
        <v>25106.68</v>
      </c>
      <c r="P65" s="24">
        <v>25106.68</v>
      </c>
      <c r="Q65" s="124"/>
      <c r="R65" s="124"/>
      <c r="S65" s="124"/>
      <c r="T65" s="19"/>
      <c r="U65" s="19"/>
    </row>
    <row r="66" spans="1:21" ht="22.5" hidden="1">
      <c r="A66" s="243"/>
      <c r="B66" s="69" t="s">
        <v>321</v>
      </c>
      <c r="C66" s="70">
        <v>7004686</v>
      </c>
      <c r="D66" s="71"/>
      <c r="E66" s="24">
        <v>91.834316999999999</v>
      </c>
      <c r="F66" s="24"/>
      <c r="G66" s="24"/>
      <c r="H66" s="24"/>
      <c r="I66" s="24"/>
      <c r="J66" s="24"/>
      <c r="K66" s="24"/>
      <c r="L66" s="24"/>
      <c r="M66" s="24"/>
      <c r="N66" s="24"/>
      <c r="O66" s="24">
        <v>91.834316999999999</v>
      </c>
      <c r="P66" s="24"/>
      <c r="Q66" s="24">
        <v>91.834316999999999</v>
      </c>
      <c r="R66" s="24"/>
      <c r="S66" s="24"/>
      <c r="T66" s="22"/>
      <c r="U66" s="22"/>
    </row>
    <row r="67" spans="1:21" hidden="1">
      <c r="A67" s="243"/>
      <c r="B67" s="35" t="s">
        <v>287</v>
      </c>
      <c r="C67" s="70"/>
      <c r="D67" s="71">
        <v>0</v>
      </c>
      <c r="E67" s="24"/>
      <c r="F67" s="24"/>
      <c r="G67" s="24"/>
      <c r="H67" s="24"/>
      <c r="I67" s="24"/>
      <c r="J67" s="24"/>
      <c r="K67" s="24"/>
      <c r="L67" s="24"/>
      <c r="M67" s="24"/>
      <c r="N67" s="24"/>
      <c r="O67" s="24"/>
      <c r="P67" s="24"/>
      <c r="Q67" s="24"/>
      <c r="R67" s="24"/>
      <c r="S67" s="24"/>
      <c r="T67" s="22"/>
      <c r="U67" s="22"/>
    </row>
    <row r="68" spans="1:21" s="27" customFormat="1" ht="21">
      <c r="A68" s="243">
        <v>6</v>
      </c>
      <c r="B68" s="72" t="s">
        <v>322</v>
      </c>
      <c r="C68" s="73"/>
      <c r="D68" s="19">
        <v>10931</v>
      </c>
      <c r="E68" s="124">
        <v>345.51400000000001</v>
      </c>
      <c r="F68" s="124">
        <v>0</v>
      </c>
      <c r="G68" s="124">
        <v>0</v>
      </c>
      <c r="H68" s="124">
        <v>0</v>
      </c>
      <c r="I68" s="124">
        <v>0</v>
      </c>
      <c r="J68" s="124">
        <v>0</v>
      </c>
      <c r="K68" s="124">
        <v>0</v>
      </c>
      <c r="L68" s="124">
        <v>0</v>
      </c>
      <c r="M68" s="124">
        <v>0</v>
      </c>
      <c r="N68" s="124">
        <v>0</v>
      </c>
      <c r="O68" s="124">
        <v>345.51400000000001</v>
      </c>
      <c r="P68" s="124">
        <v>0</v>
      </c>
      <c r="Q68" s="124">
        <v>0</v>
      </c>
      <c r="R68" s="124">
        <v>0</v>
      </c>
      <c r="S68" s="124">
        <v>0</v>
      </c>
      <c r="T68" s="19">
        <v>0</v>
      </c>
      <c r="U68" s="241"/>
    </row>
    <row r="69" spans="1:21" hidden="1">
      <c r="A69" s="20"/>
      <c r="B69" s="21" t="s">
        <v>183</v>
      </c>
      <c r="C69" s="70"/>
      <c r="D69" s="22">
        <v>10931</v>
      </c>
      <c r="E69" s="24">
        <v>345.51400000000001</v>
      </c>
      <c r="F69" s="24">
        <v>0</v>
      </c>
      <c r="G69" s="24">
        <v>0</v>
      </c>
      <c r="H69" s="24">
        <v>0</v>
      </c>
      <c r="I69" s="24">
        <v>0</v>
      </c>
      <c r="J69" s="24">
        <v>0</v>
      </c>
      <c r="K69" s="24">
        <v>0</v>
      </c>
      <c r="L69" s="24">
        <v>0</v>
      </c>
      <c r="M69" s="24">
        <v>0</v>
      </c>
      <c r="N69" s="24">
        <v>0</v>
      </c>
      <c r="O69" s="24">
        <v>345.51400000000001</v>
      </c>
      <c r="P69" s="24">
        <v>0</v>
      </c>
      <c r="Q69" s="24">
        <v>0</v>
      </c>
      <c r="R69" s="24">
        <v>0</v>
      </c>
      <c r="S69" s="24">
        <v>0</v>
      </c>
      <c r="T69" s="22">
        <v>0</v>
      </c>
      <c r="U69" s="22"/>
    </row>
    <row r="70" spans="1:21" s="46" customFormat="1" hidden="1">
      <c r="A70" s="37"/>
      <c r="B70" s="74" t="s">
        <v>283</v>
      </c>
      <c r="C70" s="28"/>
      <c r="D70" s="39">
        <v>10931</v>
      </c>
      <c r="E70" s="61">
        <v>345.51400000000001</v>
      </c>
      <c r="F70" s="61">
        <v>0</v>
      </c>
      <c r="G70" s="61">
        <v>0</v>
      </c>
      <c r="H70" s="61">
        <v>0</v>
      </c>
      <c r="I70" s="61">
        <v>0</v>
      </c>
      <c r="J70" s="61">
        <v>0</v>
      </c>
      <c r="K70" s="61">
        <v>0</v>
      </c>
      <c r="L70" s="61">
        <v>0</v>
      </c>
      <c r="M70" s="61">
        <v>0</v>
      </c>
      <c r="N70" s="61">
        <v>0</v>
      </c>
      <c r="O70" s="61">
        <v>345.51400000000001</v>
      </c>
      <c r="P70" s="61">
        <v>0</v>
      </c>
      <c r="Q70" s="61">
        <v>0</v>
      </c>
      <c r="R70" s="61">
        <v>0</v>
      </c>
      <c r="S70" s="61">
        <v>0</v>
      </c>
      <c r="T70" s="39">
        <v>0</v>
      </c>
      <c r="U70" s="39"/>
    </row>
    <row r="71" spans="1:21" s="27" customFormat="1" ht="22.5" hidden="1">
      <c r="A71" s="243"/>
      <c r="B71" s="75" t="s">
        <v>323</v>
      </c>
      <c r="C71" s="34">
        <v>7411939</v>
      </c>
      <c r="D71" s="44">
        <v>10931</v>
      </c>
      <c r="E71" s="24">
        <v>345.51400000000001</v>
      </c>
      <c r="F71" s="124"/>
      <c r="G71" s="124"/>
      <c r="H71" s="24"/>
      <c r="I71" s="124"/>
      <c r="J71" s="124"/>
      <c r="K71" s="124"/>
      <c r="L71" s="124"/>
      <c r="M71" s="124"/>
      <c r="N71" s="124"/>
      <c r="O71" s="24">
        <v>345.51400000000001</v>
      </c>
      <c r="P71" s="124"/>
      <c r="Q71" s="124"/>
      <c r="R71" s="124"/>
      <c r="S71" s="124"/>
      <c r="T71" s="19"/>
      <c r="U71" s="19"/>
    </row>
    <row r="72" spans="1:21" s="27" customFormat="1" hidden="1">
      <c r="A72" s="243"/>
      <c r="B72" s="35" t="s">
        <v>287</v>
      </c>
      <c r="C72" s="36"/>
      <c r="D72" s="65"/>
      <c r="E72" s="24"/>
      <c r="F72" s="124"/>
      <c r="G72" s="124"/>
      <c r="H72" s="24"/>
      <c r="I72" s="124"/>
      <c r="J72" s="124"/>
      <c r="K72" s="124"/>
      <c r="L72" s="124"/>
      <c r="M72" s="124"/>
      <c r="N72" s="124"/>
      <c r="O72" s="24"/>
      <c r="P72" s="124"/>
      <c r="Q72" s="124"/>
      <c r="R72" s="124"/>
      <c r="S72" s="124"/>
      <c r="T72" s="19"/>
      <c r="U72" s="19"/>
    </row>
    <row r="73" spans="1:21" s="27" customFormat="1" ht="21">
      <c r="A73" s="243">
        <v>7</v>
      </c>
      <c r="B73" s="18" t="s">
        <v>324</v>
      </c>
      <c r="C73" s="18"/>
      <c r="D73" s="19">
        <v>860</v>
      </c>
      <c r="E73" s="124">
        <v>860</v>
      </c>
      <c r="F73" s="124">
        <v>0</v>
      </c>
      <c r="G73" s="124">
        <v>0</v>
      </c>
      <c r="H73" s="124">
        <v>0</v>
      </c>
      <c r="I73" s="124">
        <v>0</v>
      </c>
      <c r="J73" s="124">
        <v>0</v>
      </c>
      <c r="K73" s="124">
        <v>0</v>
      </c>
      <c r="L73" s="124">
        <v>0</v>
      </c>
      <c r="M73" s="124">
        <v>0</v>
      </c>
      <c r="N73" s="124">
        <v>0</v>
      </c>
      <c r="O73" s="124">
        <v>860</v>
      </c>
      <c r="P73" s="124">
        <v>860</v>
      </c>
      <c r="Q73" s="124">
        <v>0</v>
      </c>
      <c r="R73" s="124">
        <v>0</v>
      </c>
      <c r="S73" s="124">
        <v>0</v>
      </c>
      <c r="T73" s="19">
        <v>0</v>
      </c>
      <c r="U73" s="241"/>
    </row>
    <row r="74" spans="1:21" s="27" customFormat="1" hidden="1">
      <c r="A74" s="243"/>
      <c r="B74" s="21" t="s">
        <v>183</v>
      </c>
      <c r="C74" s="76"/>
      <c r="D74" s="22">
        <v>860</v>
      </c>
      <c r="E74" s="24">
        <v>860</v>
      </c>
      <c r="F74" s="24">
        <v>0</v>
      </c>
      <c r="G74" s="24">
        <v>0</v>
      </c>
      <c r="H74" s="24">
        <v>0</v>
      </c>
      <c r="I74" s="24">
        <v>0</v>
      </c>
      <c r="J74" s="24">
        <v>0</v>
      </c>
      <c r="K74" s="24">
        <v>0</v>
      </c>
      <c r="L74" s="24">
        <v>0</v>
      </c>
      <c r="M74" s="24">
        <v>0</v>
      </c>
      <c r="N74" s="24">
        <v>0</v>
      </c>
      <c r="O74" s="24">
        <v>860</v>
      </c>
      <c r="P74" s="24">
        <v>860</v>
      </c>
      <c r="Q74" s="24">
        <v>0</v>
      </c>
      <c r="R74" s="24">
        <v>0</v>
      </c>
      <c r="S74" s="24">
        <v>0</v>
      </c>
      <c r="T74" s="22">
        <v>0</v>
      </c>
      <c r="U74" s="19"/>
    </row>
    <row r="75" spans="1:21" s="46" customFormat="1" hidden="1">
      <c r="A75" s="37"/>
      <c r="B75" s="38" t="s">
        <v>294</v>
      </c>
      <c r="C75" s="77"/>
      <c r="D75" s="39">
        <v>860</v>
      </c>
      <c r="E75" s="61">
        <v>860</v>
      </c>
      <c r="F75" s="61">
        <v>0</v>
      </c>
      <c r="G75" s="61">
        <v>0</v>
      </c>
      <c r="H75" s="61">
        <v>0</v>
      </c>
      <c r="I75" s="61">
        <v>0</v>
      </c>
      <c r="J75" s="61">
        <v>0</v>
      </c>
      <c r="K75" s="61">
        <v>0</v>
      </c>
      <c r="L75" s="61">
        <v>0</v>
      </c>
      <c r="M75" s="61">
        <v>0</v>
      </c>
      <c r="N75" s="61">
        <v>0</v>
      </c>
      <c r="O75" s="61">
        <v>860</v>
      </c>
      <c r="P75" s="61">
        <v>860</v>
      </c>
      <c r="Q75" s="61">
        <v>0</v>
      </c>
      <c r="R75" s="61">
        <v>0</v>
      </c>
      <c r="S75" s="61">
        <v>0</v>
      </c>
      <c r="T75" s="39">
        <v>0</v>
      </c>
      <c r="U75" s="39"/>
    </row>
    <row r="76" spans="1:21" ht="33.75" hidden="1">
      <c r="A76" s="20"/>
      <c r="B76" s="21" t="s">
        <v>325</v>
      </c>
      <c r="C76" s="34">
        <v>7574139</v>
      </c>
      <c r="D76" s="22">
        <v>860</v>
      </c>
      <c r="E76" s="24">
        <v>860</v>
      </c>
      <c r="F76" s="24"/>
      <c r="G76" s="24"/>
      <c r="H76" s="24"/>
      <c r="I76" s="24"/>
      <c r="J76" s="24"/>
      <c r="K76" s="24"/>
      <c r="L76" s="24"/>
      <c r="M76" s="24"/>
      <c r="N76" s="24"/>
      <c r="O76" s="24">
        <v>860</v>
      </c>
      <c r="P76" s="24">
        <v>860</v>
      </c>
      <c r="Q76" s="24"/>
      <c r="R76" s="24"/>
      <c r="S76" s="24"/>
      <c r="T76" s="22"/>
      <c r="U76" s="22"/>
    </row>
    <row r="77" spans="1:21" hidden="1">
      <c r="A77" s="20"/>
      <c r="B77" s="35" t="s">
        <v>287</v>
      </c>
      <c r="C77" s="36"/>
      <c r="D77" s="22">
        <v>0</v>
      </c>
      <c r="E77" s="24"/>
      <c r="F77" s="24"/>
      <c r="G77" s="24"/>
      <c r="H77" s="24"/>
      <c r="I77" s="24"/>
      <c r="J77" s="24"/>
      <c r="K77" s="24"/>
      <c r="L77" s="24"/>
      <c r="M77" s="24"/>
      <c r="N77" s="24"/>
      <c r="O77" s="24"/>
      <c r="P77" s="24"/>
      <c r="Q77" s="24"/>
      <c r="R77" s="24"/>
      <c r="S77" s="24"/>
      <c r="T77" s="22"/>
      <c r="U77" s="22"/>
    </row>
    <row r="78" spans="1:21" s="27" customFormat="1" ht="10.5">
      <c r="A78" s="243">
        <v>8</v>
      </c>
      <c r="B78" s="18" t="s">
        <v>326</v>
      </c>
      <c r="C78" s="18"/>
      <c r="D78" s="19">
        <v>1000</v>
      </c>
      <c r="E78" s="124">
        <v>1000</v>
      </c>
      <c r="F78" s="124">
        <v>0</v>
      </c>
      <c r="G78" s="124">
        <v>0</v>
      </c>
      <c r="H78" s="124">
        <v>0</v>
      </c>
      <c r="I78" s="124">
        <v>0</v>
      </c>
      <c r="J78" s="124">
        <v>0</v>
      </c>
      <c r="K78" s="124">
        <v>0</v>
      </c>
      <c r="L78" s="124">
        <v>0</v>
      </c>
      <c r="M78" s="124">
        <v>0</v>
      </c>
      <c r="N78" s="124">
        <v>0</v>
      </c>
      <c r="O78" s="124">
        <v>1000</v>
      </c>
      <c r="P78" s="124">
        <v>1000</v>
      </c>
      <c r="Q78" s="124">
        <v>0</v>
      </c>
      <c r="R78" s="124">
        <v>0</v>
      </c>
      <c r="S78" s="124">
        <v>0</v>
      </c>
      <c r="T78" s="19">
        <v>0</v>
      </c>
      <c r="U78" s="241"/>
    </row>
    <row r="79" spans="1:21" s="27" customFormat="1" hidden="1">
      <c r="A79" s="243"/>
      <c r="B79" s="21" t="s">
        <v>183</v>
      </c>
      <c r="C79" s="76"/>
      <c r="D79" s="22">
        <v>1000</v>
      </c>
      <c r="E79" s="24">
        <v>1000</v>
      </c>
      <c r="F79" s="24">
        <v>0</v>
      </c>
      <c r="G79" s="24">
        <v>0</v>
      </c>
      <c r="H79" s="24">
        <v>0</v>
      </c>
      <c r="I79" s="24">
        <v>0</v>
      </c>
      <c r="J79" s="24">
        <v>0</v>
      </c>
      <c r="K79" s="24">
        <v>0</v>
      </c>
      <c r="L79" s="24">
        <v>0</v>
      </c>
      <c r="M79" s="24">
        <v>0</v>
      </c>
      <c r="N79" s="24">
        <v>0</v>
      </c>
      <c r="O79" s="24">
        <v>1000</v>
      </c>
      <c r="P79" s="24">
        <v>1000</v>
      </c>
      <c r="Q79" s="24">
        <v>0</v>
      </c>
      <c r="R79" s="24">
        <v>0</v>
      </c>
      <c r="S79" s="24">
        <v>0</v>
      </c>
      <c r="T79" s="22">
        <v>0</v>
      </c>
      <c r="U79" s="19"/>
    </row>
    <row r="80" spans="1:21" s="46" customFormat="1" hidden="1">
      <c r="A80" s="37"/>
      <c r="B80" s="38" t="s">
        <v>294</v>
      </c>
      <c r="C80" s="77"/>
      <c r="D80" s="39">
        <v>1000</v>
      </c>
      <c r="E80" s="61">
        <v>1000</v>
      </c>
      <c r="F80" s="61">
        <v>0</v>
      </c>
      <c r="G80" s="61">
        <v>0</v>
      </c>
      <c r="H80" s="61">
        <v>0</v>
      </c>
      <c r="I80" s="61">
        <v>0</v>
      </c>
      <c r="J80" s="61">
        <v>0</v>
      </c>
      <c r="K80" s="61">
        <v>0</v>
      </c>
      <c r="L80" s="61">
        <v>0</v>
      </c>
      <c r="M80" s="61">
        <v>0</v>
      </c>
      <c r="N80" s="61">
        <v>0</v>
      </c>
      <c r="O80" s="61">
        <v>1000</v>
      </c>
      <c r="P80" s="61">
        <v>1000</v>
      </c>
      <c r="Q80" s="61">
        <v>0</v>
      </c>
      <c r="R80" s="61">
        <v>0</v>
      </c>
      <c r="S80" s="61">
        <v>0</v>
      </c>
      <c r="T80" s="39">
        <v>0</v>
      </c>
      <c r="U80" s="39"/>
    </row>
    <row r="81" spans="1:21" ht="33.75" hidden="1">
      <c r="A81" s="20"/>
      <c r="B81" s="78" t="s">
        <v>327</v>
      </c>
      <c r="C81" s="68">
        <v>7606990</v>
      </c>
      <c r="D81" s="22">
        <v>1000</v>
      </c>
      <c r="E81" s="24">
        <v>1000</v>
      </c>
      <c r="F81" s="24"/>
      <c r="G81" s="24"/>
      <c r="H81" s="24"/>
      <c r="I81" s="24"/>
      <c r="J81" s="24"/>
      <c r="K81" s="24"/>
      <c r="L81" s="24"/>
      <c r="M81" s="24"/>
      <c r="N81" s="24"/>
      <c r="O81" s="24">
        <v>1000</v>
      </c>
      <c r="P81" s="24">
        <v>1000</v>
      </c>
      <c r="Q81" s="24"/>
      <c r="R81" s="24"/>
      <c r="S81" s="24"/>
      <c r="T81" s="22"/>
      <c r="U81" s="22"/>
    </row>
    <row r="82" spans="1:21" hidden="1">
      <c r="A82" s="20"/>
      <c r="B82" s="35" t="s">
        <v>287</v>
      </c>
      <c r="C82" s="36"/>
      <c r="D82" s="22">
        <v>0</v>
      </c>
      <c r="E82" s="24"/>
      <c r="F82" s="24"/>
      <c r="G82" s="24"/>
      <c r="H82" s="24"/>
      <c r="I82" s="24"/>
      <c r="J82" s="24"/>
      <c r="K82" s="24"/>
      <c r="L82" s="24"/>
      <c r="M82" s="24"/>
      <c r="N82" s="24"/>
      <c r="O82" s="24"/>
      <c r="P82" s="24"/>
      <c r="Q82" s="24"/>
      <c r="R82" s="24"/>
      <c r="S82" s="24"/>
      <c r="T82" s="22"/>
      <c r="U82" s="22"/>
    </row>
    <row r="83" spans="1:21" s="27" customFormat="1" ht="21">
      <c r="A83" s="243">
        <v>9</v>
      </c>
      <c r="B83" s="79" t="s">
        <v>328</v>
      </c>
      <c r="C83" s="73"/>
      <c r="D83" s="19">
        <v>1900</v>
      </c>
      <c r="E83" s="124">
        <v>1900</v>
      </c>
      <c r="F83" s="124">
        <v>0</v>
      </c>
      <c r="G83" s="124">
        <v>0</v>
      </c>
      <c r="H83" s="124">
        <v>0</v>
      </c>
      <c r="I83" s="124">
        <v>0</v>
      </c>
      <c r="J83" s="124">
        <v>0</v>
      </c>
      <c r="K83" s="124">
        <v>0</v>
      </c>
      <c r="L83" s="124">
        <v>0</v>
      </c>
      <c r="M83" s="124">
        <v>0</v>
      </c>
      <c r="N83" s="124">
        <v>0</v>
      </c>
      <c r="O83" s="124">
        <v>1900</v>
      </c>
      <c r="P83" s="124">
        <v>0</v>
      </c>
      <c r="Q83" s="124">
        <v>0</v>
      </c>
      <c r="R83" s="124">
        <v>0</v>
      </c>
      <c r="S83" s="124">
        <v>0</v>
      </c>
      <c r="T83" s="19">
        <v>0</v>
      </c>
      <c r="U83" s="241"/>
    </row>
    <row r="84" spans="1:21" s="27" customFormat="1" hidden="1">
      <c r="A84" s="243"/>
      <c r="B84" s="21" t="s">
        <v>183</v>
      </c>
      <c r="C84" s="80"/>
      <c r="D84" s="19">
        <v>1900</v>
      </c>
      <c r="E84" s="124">
        <v>1900</v>
      </c>
      <c r="F84" s="124">
        <v>0</v>
      </c>
      <c r="G84" s="124">
        <v>0</v>
      </c>
      <c r="H84" s="124">
        <v>0</v>
      </c>
      <c r="I84" s="124">
        <v>0</v>
      </c>
      <c r="J84" s="124">
        <v>0</v>
      </c>
      <c r="K84" s="124">
        <v>0</v>
      </c>
      <c r="L84" s="124">
        <v>0</v>
      </c>
      <c r="M84" s="124">
        <v>0</v>
      </c>
      <c r="N84" s="124">
        <v>0</v>
      </c>
      <c r="O84" s="124">
        <v>1900</v>
      </c>
      <c r="P84" s="124">
        <v>0</v>
      </c>
      <c r="Q84" s="124">
        <v>0</v>
      </c>
      <c r="R84" s="124">
        <v>0</v>
      </c>
      <c r="S84" s="124">
        <v>0</v>
      </c>
      <c r="T84" s="19">
        <v>0</v>
      </c>
      <c r="U84" s="19"/>
    </row>
    <row r="85" spans="1:21" s="46" customFormat="1" hidden="1">
      <c r="A85" s="37"/>
      <c r="B85" s="38" t="s">
        <v>294</v>
      </c>
      <c r="C85" s="77"/>
      <c r="D85" s="39">
        <v>1900</v>
      </c>
      <c r="E85" s="61">
        <v>1900</v>
      </c>
      <c r="F85" s="61">
        <v>0</v>
      </c>
      <c r="G85" s="61">
        <v>0</v>
      </c>
      <c r="H85" s="61">
        <v>0</v>
      </c>
      <c r="I85" s="61">
        <v>0</v>
      </c>
      <c r="J85" s="61">
        <v>0</v>
      </c>
      <c r="K85" s="61">
        <v>0</v>
      </c>
      <c r="L85" s="61">
        <v>0</v>
      </c>
      <c r="M85" s="61">
        <v>0</v>
      </c>
      <c r="N85" s="61">
        <v>0</v>
      </c>
      <c r="O85" s="61">
        <v>1900</v>
      </c>
      <c r="P85" s="61">
        <v>0</v>
      </c>
      <c r="Q85" s="61">
        <v>0</v>
      </c>
      <c r="R85" s="61">
        <v>0</v>
      </c>
      <c r="S85" s="61">
        <v>0</v>
      </c>
      <c r="T85" s="39">
        <v>0</v>
      </c>
      <c r="U85" s="39"/>
    </row>
    <row r="86" spans="1:21" ht="45" hidden="1">
      <c r="A86" s="20"/>
      <c r="B86" s="78" t="s">
        <v>329</v>
      </c>
      <c r="C86" s="68">
        <v>7616788</v>
      </c>
      <c r="D86" s="22">
        <v>1900</v>
      </c>
      <c r="E86" s="24">
        <v>1900</v>
      </c>
      <c r="F86" s="24"/>
      <c r="G86" s="24"/>
      <c r="H86" s="24"/>
      <c r="I86" s="24"/>
      <c r="J86" s="24"/>
      <c r="K86" s="24"/>
      <c r="L86" s="24"/>
      <c r="M86" s="24"/>
      <c r="N86" s="24"/>
      <c r="O86" s="24">
        <v>1900</v>
      </c>
      <c r="P86" s="24"/>
      <c r="Q86" s="24"/>
      <c r="R86" s="24"/>
      <c r="S86" s="24"/>
      <c r="T86" s="22"/>
      <c r="U86" s="22"/>
    </row>
    <row r="87" spans="1:21" hidden="1">
      <c r="A87" s="20"/>
      <c r="B87" s="35" t="s">
        <v>287</v>
      </c>
      <c r="C87" s="36"/>
      <c r="D87" s="22">
        <v>0</v>
      </c>
      <c r="E87" s="24"/>
      <c r="F87" s="24"/>
      <c r="G87" s="24"/>
      <c r="H87" s="24"/>
      <c r="I87" s="24"/>
      <c r="J87" s="24"/>
      <c r="K87" s="24"/>
      <c r="L87" s="24"/>
      <c r="M87" s="24"/>
      <c r="N87" s="24"/>
      <c r="O87" s="24"/>
      <c r="P87" s="24"/>
      <c r="Q87" s="24"/>
      <c r="R87" s="24"/>
      <c r="S87" s="24"/>
      <c r="T87" s="22"/>
      <c r="U87" s="22"/>
    </row>
    <row r="88" spans="1:21" s="27" customFormat="1" ht="21">
      <c r="A88" s="243">
        <v>10</v>
      </c>
      <c r="B88" s="79" t="s">
        <v>330</v>
      </c>
      <c r="C88" s="73"/>
      <c r="D88" s="19">
        <v>2000</v>
      </c>
      <c r="E88" s="124">
        <v>2000</v>
      </c>
      <c r="F88" s="124">
        <v>0</v>
      </c>
      <c r="G88" s="124">
        <v>0</v>
      </c>
      <c r="H88" s="124">
        <v>0</v>
      </c>
      <c r="I88" s="124">
        <v>0</v>
      </c>
      <c r="J88" s="124">
        <v>0</v>
      </c>
      <c r="K88" s="124">
        <v>0</v>
      </c>
      <c r="L88" s="124">
        <v>0</v>
      </c>
      <c r="M88" s="124">
        <v>0</v>
      </c>
      <c r="N88" s="124">
        <v>0</v>
      </c>
      <c r="O88" s="124">
        <v>2000</v>
      </c>
      <c r="P88" s="124">
        <v>0</v>
      </c>
      <c r="Q88" s="124">
        <v>0</v>
      </c>
      <c r="R88" s="124">
        <v>0</v>
      </c>
      <c r="S88" s="124">
        <v>0</v>
      </c>
      <c r="T88" s="19">
        <v>0</v>
      </c>
      <c r="U88" s="241"/>
    </row>
    <row r="89" spans="1:21" s="46" customFormat="1" hidden="1">
      <c r="A89" s="37"/>
      <c r="B89" s="38" t="s">
        <v>294</v>
      </c>
      <c r="C89" s="77"/>
      <c r="D89" s="39">
        <v>2000</v>
      </c>
      <c r="E89" s="61">
        <v>2000</v>
      </c>
      <c r="F89" s="61">
        <v>0</v>
      </c>
      <c r="G89" s="61">
        <v>0</v>
      </c>
      <c r="H89" s="61">
        <v>0</v>
      </c>
      <c r="I89" s="61">
        <v>0</v>
      </c>
      <c r="J89" s="61">
        <v>0</v>
      </c>
      <c r="K89" s="61">
        <v>0</v>
      </c>
      <c r="L89" s="61">
        <v>0</v>
      </c>
      <c r="M89" s="61">
        <v>0</v>
      </c>
      <c r="N89" s="61">
        <v>0</v>
      </c>
      <c r="O89" s="61">
        <v>2000</v>
      </c>
      <c r="P89" s="61">
        <v>0</v>
      </c>
      <c r="Q89" s="61">
        <v>0</v>
      </c>
      <c r="R89" s="61">
        <v>0</v>
      </c>
      <c r="S89" s="61">
        <v>0</v>
      </c>
      <c r="T89" s="39">
        <v>0</v>
      </c>
      <c r="U89" s="39"/>
    </row>
    <row r="90" spans="1:21" ht="33.75" hidden="1">
      <c r="A90" s="20"/>
      <c r="B90" s="33" t="s">
        <v>331</v>
      </c>
      <c r="C90" s="34">
        <v>7609097</v>
      </c>
      <c r="D90" s="22">
        <v>2000</v>
      </c>
      <c r="E90" s="24">
        <v>2000</v>
      </c>
      <c r="F90" s="24"/>
      <c r="G90" s="24"/>
      <c r="H90" s="24"/>
      <c r="I90" s="24"/>
      <c r="J90" s="24"/>
      <c r="K90" s="24"/>
      <c r="L90" s="24"/>
      <c r="M90" s="24"/>
      <c r="N90" s="24"/>
      <c r="O90" s="24">
        <v>2000</v>
      </c>
      <c r="P90" s="24"/>
      <c r="Q90" s="24"/>
      <c r="R90" s="24"/>
      <c r="S90" s="24"/>
      <c r="T90" s="22"/>
      <c r="U90" s="22"/>
    </row>
    <row r="91" spans="1:21" s="27" customFormat="1" ht="21">
      <c r="A91" s="243">
        <v>11</v>
      </c>
      <c r="B91" s="79" t="s">
        <v>332</v>
      </c>
      <c r="C91" s="73"/>
      <c r="D91" s="19">
        <v>2000</v>
      </c>
      <c r="E91" s="124">
        <v>2000</v>
      </c>
      <c r="F91" s="124">
        <v>0</v>
      </c>
      <c r="G91" s="124">
        <v>0</v>
      </c>
      <c r="H91" s="124">
        <v>0</v>
      </c>
      <c r="I91" s="124">
        <v>0</v>
      </c>
      <c r="J91" s="124">
        <v>0</v>
      </c>
      <c r="K91" s="124">
        <v>0</v>
      </c>
      <c r="L91" s="124">
        <v>0</v>
      </c>
      <c r="M91" s="124">
        <v>0</v>
      </c>
      <c r="N91" s="124">
        <v>0</v>
      </c>
      <c r="O91" s="124">
        <v>2000</v>
      </c>
      <c r="P91" s="124">
        <v>0</v>
      </c>
      <c r="Q91" s="124">
        <v>0</v>
      </c>
      <c r="R91" s="124">
        <v>0</v>
      </c>
      <c r="S91" s="124">
        <v>0</v>
      </c>
      <c r="T91" s="19">
        <v>0</v>
      </c>
      <c r="U91" s="241"/>
    </row>
    <row r="92" spans="1:21" s="46" customFormat="1" hidden="1">
      <c r="A92" s="37"/>
      <c r="B92" s="38" t="s">
        <v>294</v>
      </c>
      <c r="C92" s="77"/>
      <c r="D92" s="39">
        <v>2000</v>
      </c>
      <c r="E92" s="61">
        <v>2000</v>
      </c>
      <c r="F92" s="61">
        <v>0</v>
      </c>
      <c r="G92" s="61">
        <v>0</v>
      </c>
      <c r="H92" s="61">
        <v>0</v>
      </c>
      <c r="I92" s="61">
        <v>0</v>
      </c>
      <c r="J92" s="61">
        <v>0</v>
      </c>
      <c r="K92" s="61">
        <v>0</v>
      </c>
      <c r="L92" s="61">
        <v>0</v>
      </c>
      <c r="M92" s="61">
        <v>0</v>
      </c>
      <c r="N92" s="61">
        <v>0</v>
      </c>
      <c r="O92" s="61">
        <v>2000</v>
      </c>
      <c r="P92" s="61">
        <v>0</v>
      </c>
      <c r="Q92" s="61">
        <v>0</v>
      </c>
      <c r="R92" s="61">
        <v>0</v>
      </c>
      <c r="S92" s="61">
        <v>0</v>
      </c>
      <c r="T92" s="39">
        <v>0</v>
      </c>
      <c r="U92" s="39"/>
    </row>
    <row r="93" spans="1:21" ht="33.75" hidden="1">
      <c r="A93" s="20"/>
      <c r="B93" s="78" t="s">
        <v>333</v>
      </c>
      <c r="C93" s="68">
        <v>7617634</v>
      </c>
      <c r="D93" s="22">
        <v>2000</v>
      </c>
      <c r="E93" s="24">
        <v>2000</v>
      </c>
      <c r="F93" s="24"/>
      <c r="G93" s="24"/>
      <c r="H93" s="24"/>
      <c r="I93" s="24"/>
      <c r="J93" s="24"/>
      <c r="K93" s="24"/>
      <c r="L93" s="24"/>
      <c r="M93" s="24"/>
      <c r="N93" s="24"/>
      <c r="O93" s="24">
        <v>2000</v>
      </c>
      <c r="P93" s="24"/>
      <c r="Q93" s="24"/>
      <c r="R93" s="24"/>
      <c r="S93" s="24"/>
      <c r="T93" s="22"/>
      <c r="U93" s="22"/>
    </row>
    <row r="94" spans="1:21" s="27" customFormat="1" ht="14.25" customHeight="1">
      <c r="A94" s="243">
        <v>12</v>
      </c>
      <c r="B94" s="79" t="s">
        <v>334</v>
      </c>
      <c r="C94" s="73"/>
      <c r="D94" s="19">
        <v>138.517</v>
      </c>
      <c r="E94" s="124">
        <v>138.517</v>
      </c>
      <c r="F94" s="124">
        <v>0</v>
      </c>
      <c r="G94" s="124">
        <v>0</v>
      </c>
      <c r="H94" s="124">
        <v>0</v>
      </c>
      <c r="I94" s="124">
        <v>0</v>
      </c>
      <c r="J94" s="124">
        <v>0</v>
      </c>
      <c r="K94" s="124">
        <v>0</v>
      </c>
      <c r="L94" s="124">
        <v>0</v>
      </c>
      <c r="M94" s="124">
        <v>0</v>
      </c>
      <c r="N94" s="124">
        <v>0</v>
      </c>
      <c r="O94" s="124">
        <v>0</v>
      </c>
      <c r="P94" s="124">
        <v>0</v>
      </c>
      <c r="Q94" s="124">
        <v>0</v>
      </c>
      <c r="R94" s="124">
        <v>138.517</v>
      </c>
      <c r="S94" s="124">
        <v>0</v>
      </c>
      <c r="T94" s="19">
        <v>0</v>
      </c>
      <c r="U94" s="241"/>
    </row>
    <row r="95" spans="1:21" s="27" customFormat="1" hidden="1">
      <c r="A95" s="243"/>
      <c r="B95" s="29" t="s">
        <v>294</v>
      </c>
      <c r="C95" s="73"/>
      <c r="D95" s="19">
        <v>138.517</v>
      </c>
      <c r="E95" s="124">
        <v>138.517</v>
      </c>
      <c r="F95" s="124">
        <v>0</v>
      </c>
      <c r="G95" s="124">
        <v>0</v>
      </c>
      <c r="H95" s="124">
        <v>0</v>
      </c>
      <c r="I95" s="124">
        <v>0</v>
      </c>
      <c r="J95" s="124">
        <v>0</v>
      </c>
      <c r="K95" s="124">
        <v>0</v>
      </c>
      <c r="L95" s="124">
        <v>0</v>
      </c>
      <c r="M95" s="124">
        <v>0</v>
      </c>
      <c r="N95" s="124">
        <v>0</v>
      </c>
      <c r="O95" s="124">
        <v>0</v>
      </c>
      <c r="P95" s="124">
        <v>0</v>
      </c>
      <c r="Q95" s="124">
        <v>0</v>
      </c>
      <c r="R95" s="124">
        <v>138.517</v>
      </c>
      <c r="S95" s="124">
        <v>0</v>
      </c>
      <c r="T95" s="19">
        <v>0</v>
      </c>
      <c r="U95" s="19"/>
    </row>
    <row r="96" spans="1:21" ht="6" hidden="1" customHeight="1">
      <c r="A96" s="20"/>
      <c r="B96" s="45" t="s">
        <v>335</v>
      </c>
      <c r="C96" s="43">
        <v>7480401</v>
      </c>
      <c r="D96" s="44">
        <v>138.517</v>
      </c>
      <c r="E96" s="482">
        <v>138.517</v>
      </c>
      <c r="F96" s="24"/>
      <c r="G96" s="24"/>
      <c r="H96" s="24"/>
      <c r="I96" s="24"/>
      <c r="J96" s="24"/>
      <c r="K96" s="24"/>
      <c r="L96" s="24"/>
      <c r="M96" s="24"/>
      <c r="N96" s="24"/>
      <c r="O96" s="24"/>
      <c r="P96" s="24"/>
      <c r="Q96" s="24"/>
      <c r="R96" s="482">
        <v>138.517</v>
      </c>
      <c r="S96" s="24"/>
      <c r="T96" s="22"/>
      <c r="U96" s="22"/>
    </row>
    <row r="97" spans="1:21" s="27" customFormat="1" ht="10.5">
      <c r="A97" s="243">
        <v>13</v>
      </c>
      <c r="B97" s="79" t="s">
        <v>336</v>
      </c>
      <c r="C97" s="73"/>
      <c r="D97" s="19">
        <v>18500</v>
      </c>
      <c r="E97" s="124">
        <v>15349.556850000001</v>
      </c>
      <c r="F97" s="124">
        <v>0</v>
      </c>
      <c r="G97" s="124">
        <v>0</v>
      </c>
      <c r="H97" s="124">
        <v>0</v>
      </c>
      <c r="I97" s="124">
        <v>0</v>
      </c>
      <c r="J97" s="124">
        <v>0</v>
      </c>
      <c r="K97" s="124">
        <v>0</v>
      </c>
      <c r="L97" s="124">
        <v>15349.556850000001</v>
      </c>
      <c r="M97" s="124">
        <v>0</v>
      </c>
      <c r="N97" s="124">
        <v>0</v>
      </c>
      <c r="O97" s="124">
        <v>0</v>
      </c>
      <c r="P97" s="124">
        <v>0</v>
      </c>
      <c r="Q97" s="124">
        <v>0</v>
      </c>
      <c r="R97" s="124">
        <v>0</v>
      </c>
      <c r="S97" s="124">
        <v>0</v>
      </c>
      <c r="T97" s="19">
        <v>0</v>
      </c>
      <c r="U97" s="241"/>
    </row>
    <row r="98" spans="1:21" s="46" customFormat="1" hidden="1">
      <c r="A98" s="37"/>
      <c r="B98" s="29" t="s">
        <v>294</v>
      </c>
      <c r="C98" s="28"/>
      <c r="D98" s="39">
        <v>1500</v>
      </c>
      <c r="E98" s="61">
        <v>1500</v>
      </c>
      <c r="F98" s="61">
        <v>0</v>
      </c>
      <c r="G98" s="61">
        <v>0</v>
      </c>
      <c r="H98" s="61">
        <v>0</v>
      </c>
      <c r="I98" s="61">
        <v>0</v>
      </c>
      <c r="J98" s="61">
        <v>0</v>
      </c>
      <c r="K98" s="61">
        <v>0</v>
      </c>
      <c r="L98" s="61">
        <v>1500</v>
      </c>
      <c r="M98" s="61">
        <v>0</v>
      </c>
      <c r="N98" s="61">
        <v>0</v>
      </c>
      <c r="O98" s="61">
        <v>0</v>
      </c>
      <c r="P98" s="61">
        <v>0</v>
      </c>
      <c r="Q98" s="61">
        <v>0</v>
      </c>
      <c r="R98" s="61">
        <v>0</v>
      </c>
      <c r="S98" s="61">
        <v>0</v>
      </c>
      <c r="T98" s="39">
        <v>0</v>
      </c>
      <c r="U98" s="39"/>
    </row>
    <row r="99" spans="1:21" ht="33.75" hidden="1">
      <c r="A99" s="20"/>
      <c r="B99" s="49" t="s">
        <v>337</v>
      </c>
      <c r="C99" s="81">
        <v>7484288</v>
      </c>
      <c r="D99" s="22">
        <v>1500</v>
      </c>
      <c r="E99" s="24">
        <v>1500</v>
      </c>
      <c r="F99" s="24"/>
      <c r="G99" s="24"/>
      <c r="H99" s="24"/>
      <c r="I99" s="24"/>
      <c r="J99" s="24"/>
      <c r="K99" s="24"/>
      <c r="L99" s="24">
        <v>1500</v>
      </c>
      <c r="M99" s="24"/>
      <c r="N99" s="24"/>
      <c r="O99" s="24"/>
      <c r="P99" s="24"/>
      <c r="Q99" s="24"/>
      <c r="R99" s="24"/>
      <c r="S99" s="24"/>
      <c r="T99" s="22"/>
      <c r="U99" s="22"/>
    </row>
    <row r="100" spans="1:21" s="46" customFormat="1" hidden="1">
      <c r="A100" s="37"/>
      <c r="B100" s="29" t="s">
        <v>283</v>
      </c>
      <c r="C100" s="28"/>
      <c r="D100" s="39">
        <v>17000</v>
      </c>
      <c r="E100" s="61">
        <v>13849.556850000001</v>
      </c>
      <c r="F100" s="61">
        <v>0</v>
      </c>
      <c r="G100" s="61">
        <v>0</v>
      </c>
      <c r="H100" s="61">
        <v>0</v>
      </c>
      <c r="I100" s="61">
        <v>0</v>
      </c>
      <c r="J100" s="61">
        <v>0</v>
      </c>
      <c r="K100" s="61">
        <v>0</v>
      </c>
      <c r="L100" s="61">
        <v>13849.556850000001</v>
      </c>
      <c r="M100" s="61">
        <v>0</v>
      </c>
      <c r="N100" s="61">
        <v>0</v>
      </c>
      <c r="O100" s="61">
        <v>0</v>
      </c>
      <c r="P100" s="61">
        <v>0</v>
      </c>
      <c r="Q100" s="61">
        <v>0</v>
      </c>
      <c r="R100" s="61">
        <v>0</v>
      </c>
      <c r="S100" s="61">
        <v>0</v>
      </c>
      <c r="T100" s="39">
        <v>0</v>
      </c>
      <c r="U100" s="39"/>
    </row>
    <row r="101" spans="1:21" ht="33.75" hidden="1">
      <c r="A101" s="20"/>
      <c r="B101" s="82" t="s">
        <v>337</v>
      </c>
      <c r="C101" s="83">
        <v>7484288</v>
      </c>
      <c r="D101" s="22">
        <v>17000</v>
      </c>
      <c r="E101" s="24">
        <v>13849.556850000001</v>
      </c>
      <c r="F101" s="24"/>
      <c r="G101" s="24"/>
      <c r="H101" s="24"/>
      <c r="I101" s="24"/>
      <c r="J101" s="24"/>
      <c r="K101" s="24"/>
      <c r="L101" s="24">
        <v>13849.556850000001</v>
      </c>
      <c r="M101" s="24"/>
      <c r="N101" s="24"/>
      <c r="O101" s="24"/>
      <c r="P101" s="24"/>
      <c r="Q101" s="24"/>
      <c r="R101" s="24"/>
      <c r="S101" s="24"/>
      <c r="T101" s="22"/>
      <c r="U101" s="22"/>
    </row>
    <row r="102" spans="1:21" s="27" customFormat="1" ht="18.75" customHeight="1">
      <c r="A102" s="243">
        <v>14</v>
      </c>
      <c r="B102" s="79" t="s">
        <v>338</v>
      </c>
      <c r="C102" s="73"/>
      <c r="D102" s="19">
        <v>0</v>
      </c>
      <c r="E102" s="124">
        <v>588.6</v>
      </c>
      <c r="F102" s="124">
        <v>0</v>
      </c>
      <c r="G102" s="124">
        <v>0</v>
      </c>
      <c r="H102" s="124">
        <v>588.6</v>
      </c>
      <c r="I102" s="124">
        <v>0</v>
      </c>
      <c r="J102" s="124">
        <v>0</v>
      </c>
      <c r="K102" s="124">
        <v>0</v>
      </c>
      <c r="L102" s="124">
        <v>0</v>
      </c>
      <c r="M102" s="124">
        <v>0</v>
      </c>
      <c r="N102" s="124">
        <v>0</v>
      </c>
      <c r="O102" s="124">
        <v>0</v>
      </c>
      <c r="P102" s="124">
        <v>0</v>
      </c>
      <c r="Q102" s="124">
        <v>0</v>
      </c>
      <c r="R102" s="124">
        <v>0</v>
      </c>
      <c r="S102" s="124">
        <v>0</v>
      </c>
      <c r="T102" s="19">
        <v>0</v>
      </c>
      <c r="U102" s="241"/>
    </row>
    <row r="103" spans="1:21" s="46" customFormat="1" ht="18.75" hidden="1" customHeight="1">
      <c r="A103" s="37"/>
      <c r="B103" s="29" t="s">
        <v>294</v>
      </c>
      <c r="C103" s="28"/>
      <c r="D103" s="39">
        <v>0</v>
      </c>
      <c r="E103" s="61">
        <v>588.6</v>
      </c>
      <c r="F103" s="61">
        <v>0</v>
      </c>
      <c r="G103" s="61">
        <v>0</v>
      </c>
      <c r="H103" s="61">
        <v>588.6</v>
      </c>
      <c r="I103" s="61">
        <v>0</v>
      </c>
      <c r="J103" s="61">
        <v>0</v>
      </c>
      <c r="K103" s="61">
        <v>0</v>
      </c>
      <c r="L103" s="61">
        <v>0</v>
      </c>
      <c r="M103" s="61">
        <v>0</v>
      </c>
      <c r="N103" s="61">
        <v>0</v>
      </c>
      <c r="O103" s="61">
        <v>0</v>
      </c>
      <c r="P103" s="61">
        <v>0</v>
      </c>
      <c r="Q103" s="61">
        <v>0</v>
      </c>
      <c r="R103" s="61">
        <v>0</v>
      </c>
      <c r="S103" s="61">
        <v>0</v>
      </c>
      <c r="T103" s="39">
        <v>0</v>
      </c>
      <c r="U103" s="39"/>
    </row>
    <row r="104" spans="1:21" ht="18.75" hidden="1" customHeight="1">
      <c r="A104" s="20"/>
      <c r="B104" s="33" t="s">
        <v>339</v>
      </c>
      <c r="C104" s="70">
        <v>7004686</v>
      </c>
      <c r="D104" s="22"/>
      <c r="E104" s="24">
        <v>588.6</v>
      </c>
      <c r="F104" s="24"/>
      <c r="G104" s="24"/>
      <c r="H104" s="24">
        <v>588.6</v>
      </c>
      <c r="I104" s="24"/>
      <c r="J104" s="24"/>
      <c r="K104" s="24"/>
      <c r="L104" s="24"/>
      <c r="M104" s="24"/>
      <c r="N104" s="24"/>
      <c r="O104" s="24"/>
      <c r="P104" s="24"/>
      <c r="Q104" s="24"/>
      <c r="R104" s="24"/>
      <c r="S104" s="24"/>
      <c r="T104" s="22"/>
      <c r="U104" s="22"/>
    </row>
    <row r="105" spans="1:21" s="27" customFormat="1" ht="18.75" customHeight="1">
      <c r="A105" s="243">
        <v>15</v>
      </c>
      <c r="B105" s="84" t="s">
        <v>340</v>
      </c>
      <c r="C105" s="73"/>
      <c r="D105" s="19">
        <v>0</v>
      </c>
      <c r="E105" s="124">
        <v>410.44200000000001</v>
      </c>
      <c r="F105" s="124">
        <v>0</v>
      </c>
      <c r="G105" s="124">
        <v>0</v>
      </c>
      <c r="H105" s="124">
        <v>0</v>
      </c>
      <c r="I105" s="124">
        <v>0</v>
      </c>
      <c r="J105" s="124">
        <v>0</v>
      </c>
      <c r="K105" s="124">
        <v>410.44200000000001</v>
      </c>
      <c r="L105" s="124">
        <v>0</v>
      </c>
      <c r="M105" s="124">
        <v>0</v>
      </c>
      <c r="N105" s="124">
        <v>0</v>
      </c>
      <c r="O105" s="124">
        <v>0</v>
      </c>
      <c r="P105" s="124">
        <v>0</v>
      </c>
      <c r="Q105" s="124">
        <v>0</v>
      </c>
      <c r="R105" s="124">
        <v>0</v>
      </c>
      <c r="S105" s="124">
        <v>0</v>
      </c>
      <c r="T105" s="19">
        <v>0</v>
      </c>
      <c r="U105" s="241"/>
    </row>
    <row r="106" spans="1:21" s="46" customFormat="1" ht="18.75" hidden="1" customHeight="1">
      <c r="A106" s="37"/>
      <c r="B106" s="85" t="s">
        <v>281</v>
      </c>
      <c r="C106" s="28"/>
      <c r="D106" s="39">
        <v>0</v>
      </c>
      <c r="E106" s="61">
        <v>410.44200000000001</v>
      </c>
      <c r="F106" s="61">
        <v>0</v>
      </c>
      <c r="G106" s="61">
        <v>0</v>
      </c>
      <c r="H106" s="61">
        <v>0</v>
      </c>
      <c r="I106" s="61">
        <v>0</v>
      </c>
      <c r="J106" s="61">
        <v>0</v>
      </c>
      <c r="K106" s="61">
        <v>410.44200000000001</v>
      </c>
      <c r="L106" s="61">
        <v>0</v>
      </c>
      <c r="M106" s="61">
        <v>0</v>
      </c>
      <c r="N106" s="61">
        <v>0</v>
      </c>
      <c r="O106" s="61">
        <v>0</v>
      </c>
      <c r="P106" s="61">
        <v>0</v>
      </c>
      <c r="Q106" s="61">
        <v>0</v>
      </c>
      <c r="R106" s="61">
        <v>0</v>
      </c>
      <c r="S106" s="61">
        <v>0</v>
      </c>
      <c r="T106" s="39">
        <v>0</v>
      </c>
      <c r="U106" s="39"/>
    </row>
    <row r="107" spans="1:21" ht="18.75" hidden="1" customHeight="1">
      <c r="A107" s="20"/>
      <c r="B107" s="33" t="s">
        <v>341</v>
      </c>
      <c r="C107" s="34">
        <v>7613842</v>
      </c>
      <c r="D107" s="22"/>
      <c r="E107" s="24">
        <v>287.44200000000001</v>
      </c>
      <c r="F107" s="24"/>
      <c r="G107" s="24"/>
      <c r="H107" s="24"/>
      <c r="I107" s="24"/>
      <c r="J107" s="24"/>
      <c r="K107" s="24">
        <v>287.44200000000001</v>
      </c>
      <c r="L107" s="24"/>
      <c r="M107" s="24"/>
      <c r="N107" s="24"/>
      <c r="O107" s="24"/>
      <c r="P107" s="24"/>
      <c r="Q107" s="24"/>
      <c r="R107" s="24"/>
      <c r="S107" s="24"/>
      <c r="T107" s="22"/>
      <c r="U107" s="22"/>
    </row>
    <row r="108" spans="1:21" ht="18.75" hidden="1" customHeight="1">
      <c r="A108" s="20"/>
      <c r="B108" s="33" t="s">
        <v>342</v>
      </c>
      <c r="C108" s="34">
        <v>7590986</v>
      </c>
      <c r="D108" s="22"/>
      <c r="E108" s="24">
        <v>123</v>
      </c>
      <c r="F108" s="24"/>
      <c r="G108" s="24"/>
      <c r="H108" s="24"/>
      <c r="I108" s="24"/>
      <c r="J108" s="24"/>
      <c r="K108" s="24">
        <v>123</v>
      </c>
      <c r="L108" s="24"/>
      <c r="M108" s="24"/>
      <c r="N108" s="24"/>
      <c r="O108" s="24"/>
      <c r="P108" s="24"/>
      <c r="Q108" s="24"/>
      <c r="R108" s="24"/>
      <c r="S108" s="24"/>
      <c r="T108" s="22"/>
      <c r="U108" s="22"/>
    </row>
    <row r="109" spans="1:21" s="27" customFormat="1" ht="18.75" customHeight="1">
      <c r="A109" s="243">
        <v>16</v>
      </c>
      <c r="B109" s="79" t="s">
        <v>343</v>
      </c>
      <c r="C109" s="73"/>
      <c r="D109" s="19">
        <v>10000</v>
      </c>
      <c r="E109" s="124">
        <v>16694.652681</v>
      </c>
      <c r="F109" s="124">
        <v>0</v>
      </c>
      <c r="G109" s="124">
        <v>0</v>
      </c>
      <c r="H109" s="124">
        <v>0</v>
      </c>
      <c r="I109" s="124">
        <v>0</v>
      </c>
      <c r="J109" s="124">
        <v>0</v>
      </c>
      <c r="K109" s="124">
        <v>0</v>
      </c>
      <c r="L109" s="124">
        <v>0</v>
      </c>
      <c r="M109" s="124">
        <v>0</v>
      </c>
      <c r="N109" s="124">
        <v>0</v>
      </c>
      <c r="O109" s="124">
        <v>15552.773681000001</v>
      </c>
      <c r="P109" s="124">
        <v>0</v>
      </c>
      <c r="Q109" s="124">
        <v>0</v>
      </c>
      <c r="R109" s="124">
        <v>1141.8789999999999</v>
      </c>
      <c r="S109" s="124">
        <v>0</v>
      </c>
      <c r="T109" s="19">
        <v>0</v>
      </c>
      <c r="U109" s="241"/>
    </row>
    <row r="110" spans="1:21" s="46" customFormat="1" ht="22.5" hidden="1">
      <c r="A110" s="37"/>
      <c r="B110" s="29" t="s">
        <v>279</v>
      </c>
      <c r="C110" s="28"/>
      <c r="D110" s="39">
        <v>0</v>
      </c>
      <c r="E110" s="61">
        <v>1141.8789999999999</v>
      </c>
      <c r="F110" s="61">
        <v>0</v>
      </c>
      <c r="G110" s="61">
        <v>0</v>
      </c>
      <c r="H110" s="61">
        <v>0</v>
      </c>
      <c r="I110" s="61">
        <v>0</v>
      </c>
      <c r="J110" s="61">
        <v>0</v>
      </c>
      <c r="K110" s="61">
        <v>0</v>
      </c>
      <c r="L110" s="61">
        <v>0</v>
      </c>
      <c r="M110" s="61">
        <v>0</v>
      </c>
      <c r="N110" s="61">
        <v>0</v>
      </c>
      <c r="O110" s="61">
        <v>0</v>
      </c>
      <c r="P110" s="61">
        <v>0</v>
      </c>
      <c r="Q110" s="61">
        <v>0</v>
      </c>
      <c r="R110" s="61">
        <v>1141.8789999999999</v>
      </c>
      <c r="S110" s="61">
        <v>0</v>
      </c>
      <c r="T110" s="39">
        <v>0</v>
      </c>
      <c r="U110" s="39"/>
    </row>
    <row r="111" spans="1:21" ht="33.75" hidden="1">
      <c r="A111" s="20"/>
      <c r="B111" s="78" t="s">
        <v>344</v>
      </c>
      <c r="C111" s="68">
        <v>7629226</v>
      </c>
      <c r="D111" s="86"/>
      <c r="E111" s="24">
        <v>1141.8789999999999</v>
      </c>
      <c r="F111" s="24"/>
      <c r="G111" s="24"/>
      <c r="H111" s="24"/>
      <c r="I111" s="24"/>
      <c r="J111" s="24"/>
      <c r="K111" s="24"/>
      <c r="L111" s="24"/>
      <c r="M111" s="24"/>
      <c r="N111" s="24"/>
      <c r="O111" s="24"/>
      <c r="P111" s="24"/>
      <c r="Q111" s="24"/>
      <c r="R111" s="24">
        <v>1141.8789999999999</v>
      </c>
      <c r="S111" s="24"/>
      <c r="T111" s="22"/>
      <c r="U111" s="22"/>
    </row>
    <row r="112" spans="1:21" s="46" customFormat="1" hidden="1">
      <c r="A112" s="37"/>
      <c r="B112" s="29" t="s">
        <v>283</v>
      </c>
      <c r="C112" s="28"/>
      <c r="D112" s="30">
        <v>10000</v>
      </c>
      <c r="E112" s="480">
        <v>15552.773681000001</v>
      </c>
      <c r="F112" s="480">
        <v>0</v>
      </c>
      <c r="G112" s="480">
        <v>0</v>
      </c>
      <c r="H112" s="480">
        <v>0</v>
      </c>
      <c r="I112" s="480">
        <v>0</v>
      </c>
      <c r="J112" s="480">
        <v>0</v>
      </c>
      <c r="K112" s="480">
        <v>0</v>
      </c>
      <c r="L112" s="480">
        <v>0</v>
      </c>
      <c r="M112" s="480">
        <v>0</v>
      </c>
      <c r="N112" s="480">
        <v>0</v>
      </c>
      <c r="O112" s="480">
        <v>15552.773681000001</v>
      </c>
      <c r="P112" s="480">
        <v>0</v>
      </c>
      <c r="Q112" s="480">
        <v>0</v>
      </c>
      <c r="R112" s="480">
        <v>0</v>
      </c>
      <c r="S112" s="480">
        <v>0</v>
      </c>
      <c r="T112" s="30">
        <v>0</v>
      </c>
      <c r="U112" s="39"/>
    </row>
    <row r="113" spans="1:21" ht="33.75" hidden="1">
      <c r="A113" s="20"/>
      <c r="B113" s="49" t="s">
        <v>345</v>
      </c>
      <c r="C113" s="47">
        <v>7424666</v>
      </c>
      <c r="D113" s="71">
        <v>10000</v>
      </c>
      <c r="E113" s="24">
        <v>15552.773681000001</v>
      </c>
      <c r="F113" s="24"/>
      <c r="G113" s="24"/>
      <c r="H113" s="24"/>
      <c r="I113" s="24"/>
      <c r="J113" s="24"/>
      <c r="K113" s="24"/>
      <c r="L113" s="24"/>
      <c r="M113" s="24"/>
      <c r="N113" s="24"/>
      <c r="O113" s="24">
        <v>15552.773681000001</v>
      </c>
      <c r="P113" s="24"/>
      <c r="Q113" s="24"/>
      <c r="R113" s="24"/>
      <c r="S113" s="24"/>
      <c r="T113" s="22"/>
      <c r="U113" s="22"/>
    </row>
    <row r="114" spans="1:21" s="27" customFormat="1" ht="21">
      <c r="A114" s="243">
        <v>17</v>
      </c>
      <c r="B114" s="79" t="s">
        <v>346</v>
      </c>
      <c r="C114" s="73"/>
      <c r="D114" s="19">
        <v>500</v>
      </c>
      <c r="E114" s="124">
        <v>7924.5370000000003</v>
      </c>
      <c r="F114" s="124">
        <v>0</v>
      </c>
      <c r="G114" s="124">
        <v>0</v>
      </c>
      <c r="H114" s="124">
        <v>0</v>
      </c>
      <c r="I114" s="124">
        <v>0</v>
      </c>
      <c r="J114" s="124">
        <v>0</v>
      </c>
      <c r="K114" s="124">
        <v>0</v>
      </c>
      <c r="L114" s="124">
        <v>0</v>
      </c>
      <c r="M114" s="124">
        <v>0</v>
      </c>
      <c r="N114" s="124">
        <v>0</v>
      </c>
      <c r="O114" s="124">
        <v>0</v>
      </c>
      <c r="P114" s="124">
        <v>0</v>
      </c>
      <c r="Q114" s="124">
        <v>0</v>
      </c>
      <c r="R114" s="124">
        <v>0</v>
      </c>
      <c r="S114" s="124">
        <v>7924.5370000000003</v>
      </c>
      <c r="T114" s="19">
        <v>0</v>
      </c>
      <c r="U114" s="241"/>
    </row>
    <row r="115" spans="1:21" s="46" customFormat="1" hidden="1">
      <c r="A115" s="37"/>
      <c r="B115" s="29" t="s">
        <v>294</v>
      </c>
      <c r="C115" s="28"/>
      <c r="D115" s="39">
        <v>500</v>
      </c>
      <c r="E115" s="61">
        <v>2321.933</v>
      </c>
      <c r="F115" s="61">
        <v>0</v>
      </c>
      <c r="G115" s="61">
        <v>0</v>
      </c>
      <c r="H115" s="61">
        <v>0</v>
      </c>
      <c r="I115" s="61">
        <v>0</v>
      </c>
      <c r="J115" s="61">
        <v>0</v>
      </c>
      <c r="K115" s="61">
        <v>0</v>
      </c>
      <c r="L115" s="61">
        <v>0</v>
      </c>
      <c r="M115" s="61">
        <v>0</v>
      </c>
      <c r="N115" s="61">
        <v>0</v>
      </c>
      <c r="O115" s="61">
        <v>0</v>
      </c>
      <c r="P115" s="61">
        <v>0</v>
      </c>
      <c r="Q115" s="61">
        <v>0</v>
      </c>
      <c r="R115" s="61">
        <v>0</v>
      </c>
      <c r="S115" s="61">
        <v>2321.933</v>
      </c>
      <c r="T115" s="39">
        <v>0</v>
      </c>
      <c r="U115" s="39"/>
    </row>
    <row r="116" spans="1:21" ht="22.5" hidden="1">
      <c r="A116" s="20"/>
      <c r="B116" s="87" t="s">
        <v>347</v>
      </c>
      <c r="C116" s="88">
        <v>7151773</v>
      </c>
      <c r="D116" s="71">
        <v>500</v>
      </c>
      <c r="E116" s="24">
        <v>2321.933</v>
      </c>
      <c r="F116" s="24"/>
      <c r="G116" s="24"/>
      <c r="H116" s="24"/>
      <c r="I116" s="24"/>
      <c r="J116" s="24"/>
      <c r="K116" s="24"/>
      <c r="L116" s="24"/>
      <c r="M116" s="24"/>
      <c r="N116" s="24"/>
      <c r="O116" s="24"/>
      <c r="P116" s="24"/>
      <c r="Q116" s="24"/>
      <c r="R116" s="24"/>
      <c r="S116" s="24">
        <v>2321.933</v>
      </c>
      <c r="T116" s="22"/>
      <c r="U116" s="22"/>
    </row>
    <row r="117" spans="1:21" s="46" customFormat="1" ht="22.5" hidden="1">
      <c r="A117" s="37"/>
      <c r="B117" s="89" t="s">
        <v>279</v>
      </c>
      <c r="C117" s="90"/>
      <c r="D117" s="30">
        <v>0</v>
      </c>
      <c r="E117" s="480">
        <v>5602.6040000000003</v>
      </c>
      <c r="F117" s="480">
        <v>0</v>
      </c>
      <c r="G117" s="480">
        <v>0</v>
      </c>
      <c r="H117" s="480">
        <v>0</v>
      </c>
      <c r="I117" s="480">
        <v>0</v>
      </c>
      <c r="J117" s="480">
        <v>0</v>
      </c>
      <c r="K117" s="480">
        <v>0</v>
      </c>
      <c r="L117" s="480">
        <v>0</v>
      </c>
      <c r="M117" s="480">
        <v>0</v>
      </c>
      <c r="N117" s="480">
        <v>0</v>
      </c>
      <c r="O117" s="480">
        <v>0</v>
      </c>
      <c r="P117" s="480">
        <v>0</v>
      </c>
      <c r="Q117" s="480">
        <v>0</v>
      </c>
      <c r="R117" s="480">
        <v>0</v>
      </c>
      <c r="S117" s="480">
        <v>5602.6040000000003</v>
      </c>
      <c r="T117" s="30">
        <v>0</v>
      </c>
      <c r="U117" s="39"/>
    </row>
    <row r="118" spans="1:21" ht="33.75" hidden="1">
      <c r="A118" s="20"/>
      <c r="B118" s="33" t="s">
        <v>348</v>
      </c>
      <c r="C118" s="34">
        <v>7326579</v>
      </c>
      <c r="D118" s="44"/>
      <c r="E118" s="24">
        <v>2113.7910000000002</v>
      </c>
      <c r="F118" s="24"/>
      <c r="G118" s="24"/>
      <c r="H118" s="24"/>
      <c r="I118" s="24"/>
      <c r="J118" s="24"/>
      <c r="K118" s="24"/>
      <c r="L118" s="24"/>
      <c r="M118" s="24"/>
      <c r="N118" s="24"/>
      <c r="O118" s="24"/>
      <c r="P118" s="24"/>
      <c r="Q118" s="24"/>
      <c r="R118" s="24"/>
      <c r="S118" s="24">
        <v>2113.7910000000002</v>
      </c>
      <c r="T118" s="22"/>
      <c r="U118" s="22"/>
    </row>
    <row r="119" spans="1:21" ht="67.5" hidden="1">
      <c r="A119" s="20"/>
      <c r="B119" s="78" t="s">
        <v>349</v>
      </c>
      <c r="C119" s="68">
        <v>7564792</v>
      </c>
      <c r="D119" s="86"/>
      <c r="E119" s="24">
        <v>3488.8130000000001</v>
      </c>
      <c r="F119" s="24"/>
      <c r="G119" s="24"/>
      <c r="H119" s="24"/>
      <c r="I119" s="24"/>
      <c r="J119" s="24"/>
      <c r="K119" s="24"/>
      <c r="L119" s="24"/>
      <c r="M119" s="24"/>
      <c r="N119" s="24"/>
      <c r="O119" s="24"/>
      <c r="P119" s="24"/>
      <c r="Q119" s="24"/>
      <c r="R119" s="24"/>
      <c r="S119" s="24">
        <v>3488.8130000000001</v>
      </c>
      <c r="T119" s="22"/>
      <c r="U119" s="22"/>
    </row>
    <row r="120" spans="1:21" s="27" customFormat="1" ht="18.75" customHeight="1">
      <c r="A120" s="243">
        <v>18</v>
      </c>
      <c r="B120" s="18" t="s">
        <v>350</v>
      </c>
      <c r="C120" s="18"/>
      <c r="D120" s="19">
        <v>96630</v>
      </c>
      <c r="E120" s="124">
        <v>76798.967000000004</v>
      </c>
      <c r="F120" s="124">
        <v>0</v>
      </c>
      <c r="G120" s="124">
        <v>0</v>
      </c>
      <c r="H120" s="124">
        <v>0</v>
      </c>
      <c r="I120" s="124">
        <v>0</v>
      </c>
      <c r="J120" s="124">
        <v>0</v>
      </c>
      <c r="K120" s="124">
        <v>0</v>
      </c>
      <c r="L120" s="124">
        <v>0</v>
      </c>
      <c r="M120" s="124">
        <v>0</v>
      </c>
      <c r="N120" s="124">
        <v>0</v>
      </c>
      <c r="O120" s="124">
        <v>76798.967000000004</v>
      </c>
      <c r="P120" s="124">
        <v>70048.967000000004</v>
      </c>
      <c r="Q120" s="124">
        <v>0</v>
      </c>
      <c r="R120" s="124">
        <v>0</v>
      </c>
      <c r="S120" s="124">
        <v>0</v>
      </c>
      <c r="T120" s="19">
        <v>0</v>
      </c>
      <c r="U120" s="241"/>
    </row>
    <row r="121" spans="1:21" s="41" customFormat="1">
      <c r="A121" s="91" t="s">
        <v>16</v>
      </c>
      <c r="B121" s="92" t="s">
        <v>183</v>
      </c>
      <c r="C121" s="92"/>
      <c r="D121" s="93">
        <v>66630</v>
      </c>
      <c r="E121" s="489">
        <v>73088.967000000004</v>
      </c>
      <c r="F121" s="489">
        <v>0</v>
      </c>
      <c r="G121" s="489">
        <v>0</v>
      </c>
      <c r="H121" s="489">
        <v>0</v>
      </c>
      <c r="I121" s="489">
        <v>0</v>
      </c>
      <c r="J121" s="489">
        <v>0</v>
      </c>
      <c r="K121" s="489">
        <v>0</v>
      </c>
      <c r="L121" s="489">
        <v>0</v>
      </c>
      <c r="M121" s="489">
        <v>0</v>
      </c>
      <c r="N121" s="489">
        <v>0</v>
      </c>
      <c r="O121" s="489">
        <v>73088.967000000004</v>
      </c>
      <c r="P121" s="489">
        <v>70048.967000000004</v>
      </c>
      <c r="Q121" s="489">
        <v>0</v>
      </c>
      <c r="R121" s="489">
        <v>0</v>
      </c>
      <c r="S121" s="489">
        <v>0</v>
      </c>
      <c r="T121" s="93">
        <v>0</v>
      </c>
      <c r="U121" s="94"/>
    </row>
    <row r="122" spans="1:21" s="46" customFormat="1" hidden="1">
      <c r="A122" s="37"/>
      <c r="B122" s="38" t="s">
        <v>294</v>
      </c>
      <c r="C122" s="38"/>
      <c r="D122" s="39">
        <v>6040</v>
      </c>
      <c r="E122" s="61">
        <v>8566.01</v>
      </c>
      <c r="F122" s="61">
        <v>0</v>
      </c>
      <c r="G122" s="61">
        <v>0</v>
      </c>
      <c r="H122" s="61">
        <v>0</v>
      </c>
      <c r="I122" s="61">
        <v>0</v>
      </c>
      <c r="J122" s="61">
        <v>0</v>
      </c>
      <c r="K122" s="61">
        <v>0</v>
      </c>
      <c r="L122" s="61">
        <v>0</v>
      </c>
      <c r="M122" s="61">
        <v>0</v>
      </c>
      <c r="N122" s="61">
        <v>0</v>
      </c>
      <c r="O122" s="61">
        <v>8566.01</v>
      </c>
      <c r="P122" s="61">
        <v>8566.01</v>
      </c>
      <c r="Q122" s="61">
        <v>0</v>
      </c>
      <c r="R122" s="61">
        <v>0</v>
      </c>
      <c r="S122" s="61">
        <v>0</v>
      </c>
      <c r="T122" s="39">
        <v>0</v>
      </c>
      <c r="U122" s="93"/>
    </row>
    <row r="123" spans="1:21" ht="45" hidden="1">
      <c r="A123" s="20"/>
      <c r="B123" s="33" t="s">
        <v>351</v>
      </c>
      <c r="C123" s="34">
        <v>7631562</v>
      </c>
      <c r="D123" s="22">
        <v>400</v>
      </c>
      <c r="E123" s="24">
        <v>400</v>
      </c>
      <c r="F123" s="24"/>
      <c r="G123" s="24"/>
      <c r="H123" s="24"/>
      <c r="I123" s="24"/>
      <c r="J123" s="24"/>
      <c r="K123" s="24"/>
      <c r="L123" s="24"/>
      <c r="M123" s="24"/>
      <c r="N123" s="24"/>
      <c r="O123" s="24">
        <v>400</v>
      </c>
      <c r="P123" s="24">
        <v>400</v>
      </c>
      <c r="Q123" s="24"/>
      <c r="R123" s="24"/>
      <c r="S123" s="24"/>
      <c r="T123" s="22"/>
      <c r="U123" s="93"/>
    </row>
    <row r="124" spans="1:21" ht="22.5" hidden="1">
      <c r="A124" s="20"/>
      <c r="B124" s="33" t="s">
        <v>352</v>
      </c>
      <c r="C124" s="34">
        <v>7631560</v>
      </c>
      <c r="D124" s="22">
        <v>200</v>
      </c>
      <c r="E124" s="24">
        <v>200</v>
      </c>
      <c r="F124" s="24"/>
      <c r="G124" s="24"/>
      <c r="H124" s="24"/>
      <c r="I124" s="24"/>
      <c r="J124" s="24"/>
      <c r="K124" s="24"/>
      <c r="L124" s="24"/>
      <c r="M124" s="24"/>
      <c r="N124" s="24"/>
      <c r="O124" s="24">
        <v>200</v>
      </c>
      <c r="P124" s="24">
        <v>200</v>
      </c>
      <c r="Q124" s="24"/>
      <c r="R124" s="24"/>
      <c r="S124" s="24"/>
      <c r="T124" s="22"/>
      <c r="U124" s="93"/>
    </row>
    <row r="125" spans="1:21" ht="22.5" hidden="1">
      <c r="A125" s="20"/>
      <c r="B125" s="33" t="s">
        <v>353</v>
      </c>
      <c r="C125" s="34">
        <v>7668979</v>
      </c>
      <c r="D125" s="22">
        <v>300</v>
      </c>
      <c r="E125" s="24">
        <v>300</v>
      </c>
      <c r="F125" s="24"/>
      <c r="G125" s="24"/>
      <c r="H125" s="24"/>
      <c r="I125" s="24"/>
      <c r="J125" s="24"/>
      <c r="K125" s="24"/>
      <c r="L125" s="24"/>
      <c r="M125" s="24"/>
      <c r="N125" s="24"/>
      <c r="O125" s="24">
        <v>300</v>
      </c>
      <c r="P125" s="24">
        <v>300</v>
      </c>
      <c r="Q125" s="24"/>
      <c r="R125" s="24"/>
      <c r="S125" s="24"/>
      <c r="T125" s="22"/>
      <c r="U125" s="93"/>
    </row>
    <row r="126" spans="1:21" ht="22.5" hidden="1">
      <c r="A126" s="20"/>
      <c r="B126" s="95" t="s">
        <v>354</v>
      </c>
      <c r="C126" s="83">
        <v>7244538</v>
      </c>
      <c r="D126" s="22">
        <v>1100</v>
      </c>
      <c r="E126" s="24">
        <v>1100</v>
      </c>
      <c r="F126" s="24"/>
      <c r="G126" s="24"/>
      <c r="H126" s="24"/>
      <c r="I126" s="24"/>
      <c r="J126" s="24"/>
      <c r="K126" s="24"/>
      <c r="L126" s="24"/>
      <c r="M126" s="24"/>
      <c r="N126" s="24"/>
      <c r="O126" s="24">
        <v>1100</v>
      </c>
      <c r="P126" s="24">
        <v>1100</v>
      </c>
      <c r="Q126" s="24"/>
      <c r="R126" s="24"/>
      <c r="S126" s="24"/>
      <c r="T126" s="22"/>
      <c r="U126" s="93"/>
    </row>
    <row r="127" spans="1:21" ht="22.5" hidden="1">
      <c r="A127" s="20"/>
      <c r="B127" s="95" t="s">
        <v>355</v>
      </c>
      <c r="C127" s="34">
        <v>7593697</v>
      </c>
      <c r="D127" s="22">
        <v>1500</v>
      </c>
      <c r="E127" s="24">
        <v>1500</v>
      </c>
      <c r="F127" s="24"/>
      <c r="G127" s="24"/>
      <c r="H127" s="24"/>
      <c r="I127" s="24"/>
      <c r="J127" s="24"/>
      <c r="K127" s="24"/>
      <c r="L127" s="24"/>
      <c r="M127" s="24"/>
      <c r="N127" s="24"/>
      <c r="O127" s="24">
        <v>1500</v>
      </c>
      <c r="P127" s="24">
        <v>1500</v>
      </c>
      <c r="Q127" s="24"/>
      <c r="R127" s="24"/>
      <c r="S127" s="24"/>
      <c r="T127" s="22"/>
      <c r="U127" s="93"/>
    </row>
    <row r="128" spans="1:21" ht="45" hidden="1">
      <c r="A128" s="20"/>
      <c r="B128" s="96" t="s">
        <v>356</v>
      </c>
      <c r="C128" s="81">
        <v>7094001</v>
      </c>
      <c r="D128" s="22">
        <v>200</v>
      </c>
      <c r="E128" s="24">
        <v>200</v>
      </c>
      <c r="F128" s="24"/>
      <c r="G128" s="24"/>
      <c r="H128" s="24"/>
      <c r="I128" s="24"/>
      <c r="J128" s="24"/>
      <c r="K128" s="24"/>
      <c r="L128" s="24"/>
      <c r="M128" s="24"/>
      <c r="N128" s="24"/>
      <c r="O128" s="24">
        <v>200</v>
      </c>
      <c r="P128" s="24">
        <v>200</v>
      </c>
      <c r="Q128" s="24"/>
      <c r="R128" s="24"/>
      <c r="S128" s="24"/>
      <c r="T128" s="22"/>
      <c r="U128" s="93"/>
    </row>
    <row r="129" spans="1:23" ht="22.5" hidden="1">
      <c r="A129" s="20"/>
      <c r="B129" s="49" t="s">
        <v>357</v>
      </c>
      <c r="C129" s="88">
        <v>7173532</v>
      </c>
      <c r="D129" s="22">
        <v>943</v>
      </c>
      <c r="E129" s="24">
        <v>943</v>
      </c>
      <c r="F129" s="24"/>
      <c r="G129" s="24"/>
      <c r="H129" s="24"/>
      <c r="I129" s="24"/>
      <c r="J129" s="24"/>
      <c r="K129" s="24"/>
      <c r="L129" s="24"/>
      <c r="M129" s="24"/>
      <c r="N129" s="24"/>
      <c r="O129" s="24">
        <v>943</v>
      </c>
      <c r="P129" s="24">
        <v>943</v>
      </c>
      <c r="Q129" s="24"/>
      <c r="R129" s="24"/>
      <c r="S129" s="24"/>
      <c r="T129" s="22"/>
      <c r="U129" s="93"/>
    </row>
    <row r="130" spans="1:23" ht="22.5" hidden="1">
      <c r="A130" s="20"/>
      <c r="B130" s="49" t="s">
        <v>358</v>
      </c>
      <c r="C130" s="88">
        <v>7317541</v>
      </c>
      <c r="D130" s="22">
        <v>1397</v>
      </c>
      <c r="E130" s="24">
        <v>1397</v>
      </c>
      <c r="F130" s="24"/>
      <c r="G130" s="24"/>
      <c r="H130" s="24"/>
      <c r="I130" s="24"/>
      <c r="J130" s="24"/>
      <c r="K130" s="24"/>
      <c r="L130" s="24"/>
      <c r="M130" s="24"/>
      <c r="N130" s="24"/>
      <c r="O130" s="24">
        <v>1397</v>
      </c>
      <c r="P130" s="24">
        <v>1397</v>
      </c>
      <c r="Q130" s="24"/>
      <c r="R130" s="24"/>
      <c r="S130" s="24"/>
      <c r="T130" s="22"/>
      <c r="U130" s="93"/>
    </row>
    <row r="131" spans="1:23" ht="33.75" hidden="1">
      <c r="A131" s="20"/>
      <c r="B131" s="49" t="s">
        <v>359</v>
      </c>
      <c r="C131" s="34">
        <v>7637149</v>
      </c>
      <c r="D131" s="44"/>
      <c r="E131" s="24">
        <v>520.70299999999997</v>
      </c>
      <c r="F131" s="24"/>
      <c r="G131" s="24"/>
      <c r="H131" s="24"/>
      <c r="I131" s="24"/>
      <c r="J131" s="24"/>
      <c r="K131" s="24"/>
      <c r="L131" s="24"/>
      <c r="M131" s="24"/>
      <c r="N131" s="24"/>
      <c r="O131" s="24">
        <v>520.70299999999997</v>
      </c>
      <c r="P131" s="24">
        <v>520.70299999999997</v>
      </c>
      <c r="Q131" s="24"/>
      <c r="R131" s="24"/>
      <c r="S131" s="24"/>
      <c r="T131" s="22"/>
      <c r="U131" s="93"/>
    </row>
    <row r="132" spans="1:23" ht="56.25" hidden="1">
      <c r="A132" s="20"/>
      <c r="B132" s="33" t="s">
        <v>360</v>
      </c>
      <c r="C132" s="34">
        <v>7637147</v>
      </c>
      <c r="D132" s="44"/>
      <c r="E132" s="24">
        <v>1975.307</v>
      </c>
      <c r="F132" s="24"/>
      <c r="G132" s="24"/>
      <c r="H132" s="24"/>
      <c r="I132" s="24"/>
      <c r="J132" s="24"/>
      <c r="K132" s="24"/>
      <c r="L132" s="24"/>
      <c r="M132" s="24"/>
      <c r="N132" s="24"/>
      <c r="O132" s="24">
        <v>1975.307</v>
      </c>
      <c r="P132" s="24">
        <v>1975.307</v>
      </c>
      <c r="Q132" s="24"/>
      <c r="R132" s="24"/>
      <c r="S132" s="24"/>
      <c r="T132" s="22"/>
      <c r="U132" s="93"/>
    </row>
    <row r="133" spans="1:23" ht="22.5" hidden="1">
      <c r="A133" s="20"/>
      <c r="B133" s="33" t="s">
        <v>361</v>
      </c>
      <c r="C133" s="34">
        <v>7311464</v>
      </c>
      <c r="D133" s="22"/>
      <c r="E133" s="24">
        <v>30</v>
      </c>
      <c r="F133" s="24"/>
      <c r="G133" s="24"/>
      <c r="H133" s="24"/>
      <c r="I133" s="24"/>
      <c r="J133" s="24"/>
      <c r="K133" s="24"/>
      <c r="L133" s="24"/>
      <c r="M133" s="24"/>
      <c r="N133" s="24"/>
      <c r="O133" s="24">
        <v>30</v>
      </c>
      <c r="P133" s="24">
        <v>30</v>
      </c>
      <c r="Q133" s="24"/>
      <c r="R133" s="24"/>
      <c r="S133" s="24"/>
      <c r="T133" s="22"/>
      <c r="U133" s="93"/>
    </row>
    <row r="134" spans="1:23" s="46" customFormat="1" hidden="1">
      <c r="A134" s="37"/>
      <c r="B134" s="38" t="s">
        <v>280</v>
      </c>
      <c r="C134" s="38"/>
      <c r="D134" s="39">
        <v>3190</v>
      </c>
      <c r="E134" s="61">
        <v>4130</v>
      </c>
      <c r="F134" s="61">
        <v>0</v>
      </c>
      <c r="G134" s="61">
        <v>0</v>
      </c>
      <c r="H134" s="61">
        <v>0</v>
      </c>
      <c r="I134" s="61">
        <v>0</v>
      </c>
      <c r="J134" s="61">
        <v>0</v>
      </c>
      <c r="K134" s="61">
        <v>0</v>
      </c>
      <c r="L134" s="61">
        <v>0</v>
      </c>
      <c r="M134" s="61">
        <v>0</v>
      </c>
      <c r="N134" s="61">
        <v>0</v>
      </c>
      <c r="O134" s="61">
        <v>4130</v>
      </c>
      <c r="P134" s="61">
        <v>1090</v>
      </c>
      <c r="Q134" s="61">
        <v>0</v>
      </c>
      <c r="R134" s="61">
        <v>0</v>
      </c>
      <c r="S134" s="61">
        <v>0</v>
      </c>
      <c r="T134" s="39">
        <v>0</v>
      </c>
      <c r="U134" s="93"/>
    </row>
    <row r="135" spans="1:23" hidden="1">
      <c r="A135" s="20"/>
      <c r="B135" s="49" t="s">
        <v>362</v>
      </c>
      <c r="C135" s="47">
        <v>7049663</v>
      </c>
      <c r="D135" s="22">
        <v>1090</v>
      </c>
      <c r="E135" s="24">
        <v>1090</v>
      </c>
      <c r="F135" s="24"/>
      <c r="G135" s="24"/>
      <c r="H135" s="24"/>
      <c r="I135" s="24"/>
      <c r="J135" s="24"/>
      <c r="K135" s="24"/>
      <c r="L135" s="24"/>
      <c r="M135" s="24"/>
      <c r="N135" s="24"/>
      <c r="O135" s="24">
        <v>1090</v>
      </c>
      <c r="P135" s="24">
        <v>1090</v>
      </c>
      <c r="Q135" s="24"/>
      <c r="R135" s="24"/>
      <c r="S135" s="24"/>
      <c r="T135" s="22"/>
      <c r="U135" s="93"/>
    </row>
    <row r="136" spans="1:23" ht="24" hidden="1" customHeight="1">
      <c r="A136" s="20"/>
      <c r="B136" s="82" t="s">
        <v>363</v>
      </c>
      <c r="C136" s="34">
        <v>7411553</v>
      </c>
      <c r="D136" s="22">
        <v>2100</v>
      </c>
      <c r="E136" s="24">
        <v>3040</v>
      </c>
      <c r="F136" s="24"/>
      <c r="G136" s="24"/>
      <c r="H136" s="24"/>
      <c r="I136" s="24"/>
      <c r="J136" s="24"/>
      <c r="K136" s="24"/>
      <c r="L136" s="24"/>
      <c r="M136" s="24"/>
      <c r="N136" s="24"/>
      <c r="O136" s="24">
        <v>3040</v>
      </c>
      <c r="P136" s="24"/>
      <c r="Q136" s="24"/>
      <c r="R136" s="24"/>
      <c r="S136" s="24"/>
      <c r="T136" s="22"/>
      <c r="U136" s="93"/>
      <c r="V136" s="1198"/>
      <c r="W136" s="1198"/>
    </row>
    <row r="137" spans="1:23" s="46" customFormat="1" hidden="1">
      <c r="A137" s="37"/>
      <c r="B137" s="38" t="s">
        <v>283</v>
      </c>
      <c r="C137" s="38"/>
      <c r="D137" s="39">
        <v>57400</v>
      </c>
      <c r="E137" s="61">
        <v>40099.231</v>
      </c>
      <c r="F137" s="61">
        <v>0</v>
      </c>
      <c r="G137" s="61">
        <v>0</v>
      </c>
      <c r="H137" s="61">
        <v>0</v>
      </c>
      <c r="I137" s="61">
        <v>0</v>
      </c>
      <c r="J137" s="61">
        <v>0</v>
      </c>
      <c r="K137" s="61">
        <v>0</v>
      </c>
      <c r="L137" s="61">
        <v>0</v>
      </c>
      <c r="M137" s="61">
        <v>0</v>
      </c>
      <c r="N137" s="61">
        <v>0</v>
      </c>
      <c r="O137" s="61">
        <v>40099.231</v>
      </c>
      <c r="P137" s="61">
        <v>40099.231</v>
      </c>
      <c r="Q137" s="61">
        <v>0</v>
      </c>
      <c r="R137" s="61">
        <v>0</v>
      </c>
      <c r="S137" s="61">
        <v>0</v>
      </c>
      <c r="T137" s="39">
        <v>0</v>
      </c>
      <c r="U137" s="93"/>
    </row>
    <row r="138" spans="1:23" hidden="1">
      <c r="A138" s="20"/>
      <c r="B138" s="82" t="s">
        <v>364</v>
      </c>
      <c r="C138" s="47" t="s">
        <v>365</v>
      </c>
      <c r="D138" s="44">
        <v>37400</v>
      </c>
      <c r="E138" s="24">
        <v>21473.341</v>
      </c>
      <c r="F138" s="24"/>
      <c r="G138" s="24"/>
      <c r="H138" s="24"/>
      <c r="I138" s="24"/>
      <c r="J138" s="24"/>
      <c r="K138" s="24"/>
      <c r="L138" s="24"/>
      <c r="M138" s="24"/>
      <c r="N138" s="24"/>
      <c r="O138" s="24">
        <v>21473.341</v>
      </c>
      <c r="P138" s="24">
        <v>21473.341</v>
      </c>
      <c r="Q138" s="24"/>
      <c r="R138" s="24"/>
      <c r="S138" s="24"/>
      <c r="T138" s="22"/>
      <c r="U138" s="93"/>
    </row>
    <row r="139" spans="1:23" hidden="1">
      <c r="A139" s="20"/>
      <c r="B139" s="97" t="s">
        <v>366</v>
      </c>
      <c r="C139" s="47" t="s">
        <v>367</v>
      </c>
      <c r="D139" s="44">
        <v>20000</v>
      </c>
      <c r="E139" s="24">
        <v>18410.629000000001</v>
      </c>
      <c r="F139" s="24"/>
      <c r="G139" s="24"/>
      <c r="H139" s="24"/>
      <c r="I139" s="24"/>
      <c r="J139" s="24"/>
      <c r="K139" s="24"/>
      <c r="L139" s="24"/>
      <c r="M139" s="24"/>
      <c r="N139" s="24"/>
      <c r="O139" s="24">
        <v>18410.629000000001</v>
      </c>
      <c r="P139" s="24">
        <v>18410.629000000001</v>
      </c>
      <c r="Q139" s="24"/>
      <c r="R139" s="24"/>
      <c r="S139" s="24"/>
      <c r="T139" s="22"/>
      <c r="U139" s="93"/>
    </row>
    <row r="140" spans="1:23" hidden="1">
      <c r="A140" s="20"/>
      <c r="B140" s="33" t="s">
        <v>368</v>
      </c>
      <c r="C140" s="34">
        <v>7313440</v>
      </c>
      <c r="D140" s="22"/>
      <c r="E140" s="24">
        <v>215.261</v>
      </c>
      <c r="F140" s="24"/>
      <c r="G140" s="24"/>
      <c r="H140" s="24"/>
      <c r="I140" s="24"/>
      <c r="J140" s="24"/>
      <c r="K140" s="24"/>
      <c r="L140" s="24"/>
      <c r="M140" s="24"/>
      <c r="N140" s="24"/>
      <c r="O140" s="24">
        <v>215.261</v>
      </c>
      <c r="P140" s="24">
        <v>215.261</v>
      </c>
      <c r="Q140" s="24"/>
      <c r="R140" s="24"/>
      <c r="S140" s="24"/>
      <c r="T140" s="22"/>
      <c r="U140" s="93"/>
    </row>
    <row r="141" spans="1:23" s="46" customFormat="1" hidden="1">
      <c r="A141" s="37"/>
      <c r="B141" s="38" t="s">
        <v>309</v>
      </c>
      <c r="C141" s="38"/>
      <c r="D141" s="39">
        <v>0</v>
      </c>
      <c r="E141" s="61">
        <v>20293.725999999999</v>
      </c>
      <c r="F141" s="61">
        <v>0</v>
      </c>
      <c r="G141" s="61">
        <v>0</v>
      </c>
      <c r="H141" s="61">
        <v>0</v>
      </c>
      <c r="I141" s="61">
        <v>0</v>
      </c>
      <c r="J141" s="61">
        <v>0</v>
      </c>
      <c r="K141" s="61">
        <v>0</v>
      </c>
      <c r="L141" s="61">
        <v>0</v>
      </c>
      <c r="M141" s="61">
        <v>0</v>
      </c>
      <c r="N141" s="61">
        <v>0</v>
      </c>
      <c r="O141" s="61">
        <v>20293.725999999999</v>
      </c>
      <c r="P141" s="61">
        <v>20293.725999999999</v>
      </c>
      <c r="Q141" s="61">
        <v>0</v>
      </c>
      <c r="R141" s="61">
        <v>0</v>
      </c>
      <c r="S141" s="61">
        <v>0</v>
      </c>
      <c r="T141" s="39">
        <v>0</v>
      </c>
      <c r="U141" s="93"/>
    </row>
    <row r="142" spans="1:23" ht="22.5" hidden="1">
      <c r="A142" s="20"/>
      <c r="B142" s="33" t="s">
        <v>369</v>
      </c>
      <c r="C142" s="34">
        <v>7178233</v>
      </c>
      <c r="D142" s="22"/>
      <c r="E142" s="24">
        <v>20293.725999999999</v>
      </c>
      <c r="F142" s="24"/>
      <c r="G142" s="24"/>
      <c r="H142" s="24"/>
      <c r="I142" s="24"/>
      <c r="J142" s="24"/>
      <c r="K142" s="24"/>
      <c r="L142" s="24"/>
      <c r="M142" s="24"/>
      <c r="N142" s="24"/>
      <c r="O142" s="24">
        <v>20293.725999999999</v>
      </c>
      <c r="P142" s="24">
        <v>20293.725999999999</v>
      </c>
      <c r="Q142" s="24"/>
      <c r="R142" s="24"/>
      <c r="S142" s="24"/>
      <c r="T142" s="22"/>
      <c r="U142" s="93"/>
    </row>
    <row r="143" spans="1:23" s="41" customFormat="1">
      <c r="A143" s="91" t="s">
        <v>16</v>
      </c>
      <c r="B143" s="92" t="s">
        <v>287</v>
      </c>
      <c r="C143" s="92"/>
      <c r="D143" s="93">
        <v>30000</v>
      </c>
      <c r="E143" s="489">
        <v>3710</v>
      </c>
      <c r="F143" s="489">
        <v>0</v>
      </c>
      <c r="G143" s="489">
        <v>0</v>
      </c>
      <c r="H143" s="489">
        <v>0</v>
      </c>
      <c r="I143" s="489">
        <v>0</v>
      </c>
      <c r="J143" s="489">
        <v>0</v>
      </c>
      <c r="K143" s="489">
        <v>0</v>
      </c>
      <c r="L143" s="489">
        <v>0</v>
      </c>
      <c r="M143" s="489">
        <v>0</v>
      </c>
      <c r="N143" s="489">
        <v>0</v>
      </c>
      <c r="O143" s="489">
        <v>3710</v>
      </c>
      <c r="P143" s="489">
        <v>0</v>
      </c>
      <c r="Q143" s="489">
        <v>0</v>
      </c>
      <c r="R143" s="489">
        <v>0</v>
      </c>
      <c r="S143" s="489">
        <v>0</v>
      </c>
      <c r="T143" s="93">
        <v>0</v>
      </c>
      <c r="U143" s="94"/>
    </row>
    <row r="144" spans="1:23" ht="22.5" hidden="1">
      <c r="A144" s="20"/>
      <c r="B144" s="98" t="s">
        <v>370</v>
      </c>
      <c r="C144" s="68">
        <v>7593697</v>
      </c>
      <c r="D144" s="22">
        <v>30000</v>
      </c>
      <c r="E144" s="24">
        <v>0</v>
      </c>
      <c r="F144" s="24"/>
      <c r="G144" s="24"/>
      <c r="H144" s="24"/>
      <c r="I144" s="24"/>
      <c r="J144" s="24"/>
      <c r="K144" s="24"/>
      <c r="L144" s="24"/>
      <c r="M144" s="24"/>
      <c r="N144" s="24"/>
      <c r="O144" s="24"/>
      <c r="P144" s="24"/>
      <c r="Q144" s="24"/>
      <c r="R144" s="24"/>
      <c r="S144" s="24"/>
      <c r="T144" s="22"/>
      <c r="U144" s="22"/>
    </row>
    <row r="145" spans="1:21" hidden="1">
      <c r="A145" s="20"/>
      <c r="B145" s="33" t="s">
        <v>371</v>
      </c>
      <c r="C145" s="34">
        <v>7049722</v>
      </c>
      <c r="D145" s="22"/>
      <c r="E145" s="24">
        <v>2148</v>
      </c>
      <c r="F145" s="24"/>
      <c r="G145" s="24"/>
      <c r="H145" s="24"/>
      <c r="I145" s="24"/>
      <c r="J145" s="24"/>
      <c r="K145" s="24"/>
      <c r="L145" s="24"/>
      <c r="M145" s="24"/>
      <c r="N145" s="24"/>
      <c r="O145" s="24">
        <v>2148</v>
      </c>
      <c r="P145" s="24"/>
      <c r="Q145" s="24"/>
      <c r="R145" s="24"/>
      <c r="S145" s="24"/>
      <c r="T145" s="22"/>
      <c r="U145" s="22"/>
    </row>
    <row r="146" spans="1:21" ht="22.5" hidden="1">
      <c r="A146" s="20"/>
      <c r="B146" s="33" t="s">
        <v>372</v>
      </c>
      <c r="C146" s="34">
        <v>7244538</v>
      </c>
      <c r="D146" s="22"/>
      <c r="E146" s="24">
        <v>1562</v>
      </c>
      <c r="F146" s="24"/>
      <c r="G146" s="24"/>
      <c r="H146" s="24"/>
      <c r="I146" s="24"/>
      <c r="J146" s="24"/>
      <c r="K146" s="24"/>
      <c r="L146" s="24"/>
      <c r="M146" s="24"/>
      <c r="N146" s="24"/>
      <c r="O146" s="24">
        <v>1562</v>
      </c>
      <c r="P146" s="24"/>
      <c r="Q146" s="24"/>
      <c r="R146" s="24"/>
      <c r="S146" s="24"/>
      <c r="T146" s="22"/>
      <c r="U146" s="22"/>
    </row>
    <row r="147" spans="1:21" s="27" customFormat="1" ht="15" customHeight="1">
      <c r="A147" s="243">
        <v>19</v>
      </c>
      <c r="B147" s="18" t="s">
        <v>373</v>
      </c>
      <c r="C147" s="18"/>
      <c r="D147" s="19">
        <v>29686.000000000004</v>
      </c>
      <c r="E147" s="124">
        <v>35004.712090000001</v>
      </c>
      <c r="F147" s="124">
        <v>35004.712090000001</v>
      </c>
      <c r="G147" s="124">
        <v>0</v>
      </c>
      <c r="H147" s="124">
        <v>0</v>
      </c>
      <c r="I147" s="124">
        <v>0</v>
      </c>
      <c r="J147" s="124">
        <v>0</v>
      </c>
      <c r="K147" s="124">
        <v>0</v>
      </c>
      <c r="L147" s="124">
        <v>0</v>
      </c>
      <c r="M147" s="124">
        <v>0</v>
      </c>
      <c r="N147" s="124">
        <v>0</v>
      </c>
      <c r="O147" s="124">
        <v>0</v>
      </c>
      <c r="P147" s="124">
        <v>0</v>
      </c>
      <c r="Q147" s="124">
        <v>0</v>
      </c>
      <c r="R147" s="124">
        <v>0</v>
      </c>
      <c r="S147" s="124">
        <v>0</v>
      </c>
      <c r="T147" s="19">
        <v>0</v>
      </c>
      <c r="U147" s="241"/>
    </row>
    <row r="148" spans="1:21" s="41" customFormat="1">
      <c r="A148" s="99"/>
      <c r="B148" s="92" t="s">
        <v>183</v>
      </c>
      <c r="C148" s="92"/>
      <c r="D148" s="93">
        <v>29686.000000000004</v>
      </c>
      <c r="E148" s="489">
        <v>28781.712090000005</v>
      </c>
      <c r="F148" s="489">
        <v>28781.712090000005</v>
      </c>
      <c r="G148" s="489">
        <v>0</v>
      </c>
      <c r="H148" s="489">
        <v>0</v>
      </c>
      <c r="I148" s="489">
        <v>0</v>
      </c>
      <c r="J148" s="489">
        <v>0</v>
      </c>
      <c r="K148" s="489">
        <v>0</v>
      </c>
      <c r="L148" s="489">
        <v>0</v>
      </c>
      <c r="M148" s="489">
        <v>0</v>
      </c>
      <c r="N148" s="489">
        <v>0</v>
      </c>
      <c r="O148" s="489">
        <v>0</v>
      </c>
      <c r="P148" s="489">
        <v>0</v>
      </c>
      <c r="Q148" s="489">
        <v>0</v>
      </c>
      <c r="R148" s="489">
        <v>0</v>
      </c>
      <c r="S148" s="489">
        <v>0</v>
      </c>
      <c r="T148" s="93">
        <v>0</v>
      </c>
      <c r="U148" s="94"/>
    </row>
    <row r="149" spans="1:21" s="46" customFormat="1" hidden="1">
      <c r="A149" s="37"/>
      <c r="B149" s="38" t="s">
        <v>294</v>
      </c>
      <c r="C149" s="38"/>
      <c r="D149" s="39">
        <v>26786.000000000004</v>
      </c>
      <c r="E149" s="61">
        <v>24696.210090000004</v>
      </c>
      <c r="F149" s="61">
        <v>24696.210090000004</v>
      </c>
      <c r="G149" s="61">
        <v>0</v>
      </c>
      <c r="H149" s="61">
        <v>0</v>
      </c>
      <c r="I149" s="61">
        <v>0</v>
      </c>
      <c r="J149" s="61">
        <v>0</v>
      </c>
      <c r="K149" s="61">
        <v>0</v>
      </c>
      <c r="L149" s="61">
        <v>0</v>
      </c>
      <c r="M149" s="61">
        <v>0</v>
      </c>
      <c r="N149" s="61">
        <v>0</v>
      </c>
      <c r="O149" s="61">
        <v>0</v>
      </c>
      <c r="P149" s="61">
        <v>0</v>
      </c>
      <c r="Q149" s="61">
        <v>0</v>
      </c>
      <c r="R149" s="61">
        <v>0</v>
      </c>
      <c r="S149" s="61">
        <v>0</v>
      </c>
      <c r="T149" s="39">
        <v>0</v>
      </c>
      <c r="U149" s="39"/>
    </row>
    <row r="150" spans="1:21" hidden="1">
      <c r="A150" s="20"/>
      <c r="B150" s="21" t="s">
        <v>374</v>
      </c>
      <c r="C150" s="21"/>
      <c r="D150" s="22">
        <v>818</v>
      </c>
      <c r="E150" s="24">
        <v>815.52099999999996</v>
      </c>
      <c r="F150" s="24">
        <v>815.52099999999996</v>
      </c>
      <c r="G150" s="24"/>
      <c r="H150" s="24"/>
      <c r="I150" s="24"/>
      <c r="J150" s="24"/>
      <c r="K150" s="24"/>
      <c r="L150" s="24"/>
      <c r="M150" s="24"/>
      <c r="N150" s="24"/>
      <c r="O150" s="24"/>
      <c r="P150" s="24"/>
      <c r="Q150" s="24"/>
      <c r="R150" s="24"/>
      <c r="S150" s="24"/>
      <c r="T150" s="22"/>
      <c r="U150" s="22"/>
    </row>
    <row r="151" spans="1:21" ht="22.5" hidden="1">
      <c r="A151" s="20"/>
      <c r="B151" s="33" t="s">
        <v>375</v>
      </c>
      <c r="C151" s="34">
        <v>7556622</v>
      </c>
      <c r="D151" s="44">
        <v>7400</v>
      </c>
      <c r="E151" s="24">
        <v>6815.4040000000005</v>
      </c>
      <c r="F151" s="24">
        <v>6815.4040000000005</v>
      </c>
      <c r="G151" s="24"/>
      <c r="H151" s="24"/>
      <c r="I151" s="24"/>
      <c r="J151" s="24"/>
      <c r="K151" s="24"/>
      <c r="L151" s="24"/>
      <c r="M151" s="24"/>
      <c r="N151" s="24"/>
      <c r="O151" s="24"/>
      <c r="P151" s="24"/>
      <c r="Q151" s="24"/>
      <c r="R151" s="24"/>
      <c r="S151" s="24"/>
      <c r="T151" s="22"/>
      <c r="U151" s="22"/>
    </row>
    <row r="152" spans="1:21" ht="67.5" hidden="1">
      <c r="A152" s="20"/>
      <c r="B152" s="33" t="s">
        <v>376</v>
      </c>
      <c r="C152" s="34">
        <v>7446203</v>
      </c>
      <c r="D152" s="44">
        <v>1538</v>
      </c>
      <c r="E152" s="24">
        <v>1525.25109</v>
      </c>
      <c r="F152" s="24">
        <v>1525.25109</v>
      </c>
      <c r="G152" s="24"/>
      <c r="H152" s="24"/>
      <c r="I152" s="24"/>
      <c r="J152" s="24"/>
      <c r="K152" s="24"/>
      <c r="L152" s="24"/>
      <c r="M152" s="24"/>
      <c r="N152" s="24"/>
      <c r="O152" s="24"/>
      <c r="P152" s="24"/>
      <c r="Q152" s="24"/>
      <c r="R152" s="24"/>
      <c r="S152" s="24"/>
      <c r="T152" s="22"/>
      <c r="U152" s="22"/>
    </row>
    <row r="153" spans="1:21" ht="22.5" hidden="1">
      <c r="A153" s="20"/>
      <c r="B153" s="33" t="s">
        <v>377</v>
      </c>
      <c r="C153" s="34">
        <v>7430511</v>
      </c>
      <c r="D153" s="44">
        <v>259.495</v>
      </c>
      <c r="E153" s="24">
        <v>259.495</v>
      </c>
      <c r="F153" s="24">
        <v>259.495</v>
      </c>
      <c r="G153" s="24"/>
      <c r="H153" s="24"/>
      <c r="I153" s="24"/>
      <c r="J153" s="24"/>
      <c r="K153" s="24"/>
      <c r="L153" s="24"/>
      <c r="M153" s="24"/>
      <c r="N153" s="24"/>
      <c r="O153" s="24"/>
      <c r="P153" s="24"/>
      <c r="Q153" s="24"/>
      <c r="R153" s="24"/>
      <c r="S153" s="24"/>
      <c r="T153" s="22"/>
      <c r="U153" s="22"/>
    </row>
    <row r="154" spans="1:21" ht="33.75" hidden="1">
      <c r="A154" s="20"/>
      <c r="B154" s="33" t="s">
        <v>378</v>
      </c>
      <c r="C154" s="100">
        <v>7624735</v>
      </c>
      <c r="D154" s="22">
        <v>5400</v>
      </c>
      <c r="E154" s="482">
        <v>5400</v>
      </c>
      <c r="F154" s="24">
        <v>5400</v>
      </c>
      <c r="G154" s="24"/>
      <c r="H154" s="24"/>
      <c r="I154" s="24"/>
      <c r="J154" s="24"/>
      <c r="K154" s="24"/>
      <c r="L154" s="24"/>
      <c r="M154" s="24"/>
      <c r="N154" s="24"/>
      <c r="O154" s="24"/>
      <c r="P154" s="24"/>
      <c r="Q154" s="24"/>
      <c r="R154" s="24"/>
      <c r="S154" s="24"/>
      <c r="T154" s="22"/>
      <c r="U154" s="22"/>
    </row>
    <row r="155" spans="1:21" ht="22.5" hidden="1">
      <c r="A155" s="20"/>
      <c r="B155" s="33" t="s">
        <v>379</v>
      </c>
      <c r="C155" s="101" t="s">
        <v>380</v>
      </c>
      <c r="D155" s="22">
        <v>1800</v>
      </c>
      <c r="E155" s="482">
        <v>1800</v>
      </c>
      <c r="F155" s="24">
        <v>1800</v>
      </c>
      <c r="G155" s="24"/>
      <c r="H155" s="24"/>
      <c r="I155" s="24"/>
      <c r="J155" s="24"/>
      <c r="K155" s="24"/>
      <c r="L155" s="24"/>
      <c r="M155" s="24"/>
      <c r="N155" s="24"/>
      <c r="O155" s="24"/>
      <c r="P155" s="24"/>
      <c r="Q155" s="24"/>
      <c r="R155" s="24"/>
      <c r="S155" s="24"/>
      <c r="T155" s="22"/>
      <c r="U155" s="22"/>
    </row>
    <row r="156" spans="1:21" ht="22.5" hidden="1">
      <c r="A156" s="20"/>
      <c r="B156" s="33" t="s">
        <v>381</v>
      </c>
      <c r="C156" s="101" t="s">
        <v>382</v>
      </c>
      <c r="D156" s="22">
        <v>1500</v>
      </c>
      <c r="E156" s="482">
        <v>1454.0340000000001</v>
      </c>
      <c r="F156" s="24">
        <v>1454.0340000000001</v>
      </c>
      <c r="G156" s="24"/>
      <c r="H156" s="24"/>
      <c r="I156" s="24"/>
      <c r="J156" s="24"/>
      <c r="K156" s="24"/>
      <c r="L156" s="24"/>
      <c r="M156" s="24"/>
      <c r="N156" s="24"/>
      <c r="O156" s="24"/>
      <c r="P156" s="24"/>
      <c r="Q156" s="24"/>
      <c r="R156" s="24"/>
      <c r="S156" s="24"/>
      <c r="T156" s="22"/>
      <c r="U156" s="22"/>
    </row>
    <row r="157" spans="1:21" ht="22.5" hidden="1">
      <c r="A157" s="20"/>
      <c r="B157" s="33" t="s">
        <v>383</v>
      </c>
      <c r="C157" s="100">
        <v>7629863</v>
      </c>
      <c r="D157" s="22">
        <v>1000</v>
      </c>
      <c r="E157" s="24">
        <v>1000</v>
      </c>
      <c r="F157" s="24">
        <v>1000</v>
      </c>
      <c r="G157" s="24"/>
      <c r="H157" s="24"/>
      <c r="I157" s="24"/>
      <c r="J157" s="24"/>
      <c r="K157" s="24"/>
      <c r="L157" s="24"/>
      <c r="M157" s="24"/>
      <c r="N157" s="24"/>
      <c r="O157" s="24"/>
      <c r="P157" s="24"/>
      <c r="Q157" s="24"/>
      <c r="R157" s="24"/>
      <c r="S157" s="24"/>
      <c r="T157" s="22"/>
      <c r="U157" s="22"/>
    </row>
    <row r="158" spans="1:21" ht="33.75" hidden="1">
      <c r="A158" s="20"/>
      <c r="B158" s="33" t="s">
        <v>384</v>
      </c>
      <c r="C158" s="88">
        <v>7622624</v>
      </c>
      <c r="D158" s="22">
        <v>2900</v>
      </c>
      <c r="E158" s="24">
        <v>1505</v>
      </c>
      <c r="F158" s="24">
        <v>1505</v>
      </c>
      <c r="G158" s="24"/>
      <c r="H158" s="24"/>
      <c r="I158" s="24"/>
      <c r="J158" s="24"/>
      <c r="K158" s="24"/>
      <c r="L158" s="24"/>
      <c r="M158" s="24"/>
      <c r="N158" s="24"/>
      <c r="O158" s="24"/>
      <c r="P158" s="24"/>
      <c r="Q158" s="24"/>
      <c r="R158" s="24"/>
      <c r="S158" s="24"/>
      <c r="T158" s="22"/>
      <c r="U158" s="22"/>
    </row>
    <row r="159" spans="1:21" ht="33.75" hidden="1">
      <c r="A159" s="20"/>
      <c r="B159" s="33" t="s">
        <v>385</v>
      </c>
      <c r="C159" s="88">
        <v>7580236</v>
      </c>
      <c r="D159" s="22">
        <v>1400</v>
      </c>
      <c r="E159" s="24">
        <v>1400</v>
      </c>
      <c r="F159" s="24">
        <v>1400</v>
      </c>
      <c r="G159" s="24"/>
      <c r="H159" s="24"/>
      <c r="I159" s="24"/>
      <c r="J159" s="24"/>
      <c r="K159" s="24"/>
      <c r="L159" s="24"/>
      <c r="M159" s="24"/>
      <c r="N159" s="24"/>
      <c r="O159" s="24"/>
      <c r="P159" s="24"/>
      <c r="Q159" s="24"/>
      <c r="R159" s="24"/>
      <c r="S159" s="24"/>
      <c r="T159" s="22"/>
      <c r="U159" s="22"/>
    </row>
    <row r="160" spans="1:21" ht="22.5" hidden="1">
      <c r="A160" s="20"/>
      <c r="B160" s="33" t="s">
        <v>386</v>
      </c>
      <c r="C160" s="88">
        <v>7615866</v>
      </c>
      <c r="D160" s="22">
        <v>500</v>
      </c>
      <c r="E160" s="24">
        <v>500</v>
      </c>
      <c r="F160" s="24">
        <v>500</v>
      </c>
      <c r="G160" s="24"/>
      <c r="H160" s="24"/>
      <c r="I160" s="24"/>
      <c r="J160" s="24"/>
      <c r="K160" s="24"/>
      <c r="L160" s="24"/>
      <c r="M160" s="24"/>
      <c r="N160" s="24"/>
      <c r="O160" s="24"/>
      <c r="P160" s="24"/>
      <c r="Q160" s="24"/>
      <c r="R160" s="24"/>
      <c r="S160" s="24"/>
      <c r="T160" s="22"/>
      <c r="U160" s="22"/>
    </row>
    <row r="161" spans="1:24" hidden="1">
      <c r="A161" s="20"/>
      <c r="B161" s="33" t="s">
        <v>387</v>
      </c>
      <c r="C161" s="100">
        <v>7564084</v>
      </c>
      <c r="D161" s="22">
        <v>430</v>
      </c>
      <c r="E161" s="482">
        <v>405</v>
      </c>
      <c r="F161" s="24">
        <v>405</v>
      </c>
      <c r="G161" s="24"/>
      <c r="H161" s="24"/>
      <c r="I161" s="24"/>
      <c r="J161" s="24"/>
      <c r="K161" s="24"/>
      <c r="L161" s="24"/>
      <c r="M161" s="24"/>
      <c r="N161" s="24"/>
      <c r="O161" s="24"/>
      <c r="P161" s="24"/>
      <c r="Q161" s="24"/>
      <c r="R161" s="24"/>
      <c r="S161" s="24"/>
      <c r="T161" s="22"/>
      <c r="U161" s="22"/>
    </row>
    <row r="162" spans="1:24" hidden="1">
      <c r="A162" s="20"/>
      <c r="B162" s="33" t="s">
        <v>388</v>
      </c>
      <c r="C162" s="100">
        <v>7564092</v>
      </c>
      <c r="D162" s="22">
        <v>700</v>
      </c>
      <c r="E162" s="482">
        <v>700</v>
      </c>
      <c r="F162" s="24">
        <v>700</v>
      </c>
      <c r="G162" s="24"/>
      <c r="H162" s="24"/>
      <c r="I162" s="24"/>
      <c r="J162" s="24"/>
      <c r="K162" s="24"/>
      <c r="L162" s="24"/>
      <c r="M162" s="24"/>
      <c r="N162" s="24"/>
      <c r="O162" s="24"/>
      <c r="P162" s="24"/>
      <c r="Q162" s="24"/>
      <c r="R162" s="24"/>
      <c r="S162" s="24"/>
      <c r="T162" s="22"/>
      <c r="U162" s="22"/>
    </row>
    <row r="163" spans="1:24" hidden="1">
      <c r="A163" s="20"/>
      <c r="B163" s="33" t="s">
        <v>389</v>
      </c>
      <c r="C163" s="100">
        <v>7564076</v>
      </c>
      <c r="D163" s="44">
        <v>800</v>
      </c>
      <c r="E163" s="24">
        <v>800</v>
      </c>
      <c r="F163" s="24">
        <v>800</v>
      </c>
      <c r="G163" s="24"/>
      <c r="H163" s="24"/>
      <c r="I163" s="24"/>
      <c r="J163" s="24"/>
      <c r="K163" s="24"/>
      <c r="L163" s="24"/>
      <c r="M163" s="24"/>
      <c r="N163" s="24"/>
      <c r="O163" s="24"/>
      <c r="P163" s="24"/>
      <c r="Q163" s="24"/>
      <c r="R163" s="24"/>
      <c r="S163" s="24"/>
      <c r="T163" s="22"/>
      <c r="U163" s="22"/>
    </row>
    <row r="164" spans="1:24" hidden="1">
      <c r="A164" s="20"/>
      <c r="B164" s="33" t="s">
        <v>390</v>
      </c>
      <c r="C164" s="100">
        <v>7564087</v>
      </c>
      <c r="D164" s="44">
        <v>340.505</v>
      </c>
      <c r="E164" s="24">
        <v>316.505</v>
      </c>
      <c r="F164" s="24">
        <v>316.505</v>
      </c>
      <c r="G164" s="24"/>
      <c r="H164" s="24"/>
      <c r="I164" s="24"/>
      <c r="J164" s="24"/>
      <c r="K164" s="24"/>
      <c r="L164" s="24"/>
      <c r="M164" s="24"/>
      <c r="N164" s="24"/>
      <c r="O164" s="24"/>
      <c r="P164" s="24"/>
      <c r="Q164" s="24"/>
      <c r="R164" s="24"/>
      <c r="S164" s="24"/>
      <c r="T164" s="22"/>
      <c r="U164" s="22"/>
    </row>
    <row r="165" spans="1:24" s="46" customFormat="1" hidden="1">
      <c r="A165" s="37"/>
      <c r="B165" s="38" t="s">
        <v>280</v>
      </c>
      <c r="C165" s="38"/>
      <c r="D165" s="39">
        <v>1500</v>
      </c>
      <c r="E165" s="61">
        <v>1780.8519999999999</v>
      </c>
      <c r="F165" s="61">
        <v>1780.8519999999999</v>
      </c>
      <c r="G165" s="61">
        <v>0</v>
      </c>
      <c r="H165" s="61">
        <v>0</v>
      </c>
      <c r="I165" s="61">
        <v>0</v>
      </c>
      <c r="J165" s="61">
        <v>0</v>
      </c>
      <c r="K165" s="61">
        <v>0</v>
      </c>
      <c r="L165" s="61">
        <v>0</v>
      </c>
      <c r="M165" s="61">
        <v>0</v>
      </c>
      <c r="N165" s="61">
        <v>0</v>
      </c>
      <c r="O165" s="61">
        <v>0</v>
      </c>
      <c r="P165" s="61">
        <v>0</v>
      </c>
      <c r="Q165" s="61">
        <v>0</v>
      </c>
      <c r="R165" s="61">
        <v>0</v>
      </c>
      <c r="S165" s="61">
        <v>0</v>
      </c>
      <c r="T165" s="39">
        <v>0</v>
      </c>
      <c r="U165" s="39"/>
    </row>
    <row r="166" spans="1:24" ht="22.5" hidden="1">
      <c r="A166" s="20"/>
      <c r="B166" s="33" t="s">
        <v>375</v>
      </c>
      <c r="C166" s="34">
        <v>7556622</v>
      </c>
      <c r="D166" s="22">
        <v>1500</v>
      </c>
      <c r="E166" s="24">
        <v>1500</v>
      </c>
      <c r="F166" s="24">
        <v>1500</v>
      </c>
      <c r="G166" s="24"/>
      <c r="H166" s="24"/>
      <c r="I166" s="24"/>
      <c r="J166" s="24"/>
      <c r="K166" s="24"/>
      <c r="L166" s="24"/>
      <c r="M166" s="24"/>
      <c r="N166" s="24"/>
      <c r="O166" s="24"/>
      <c r="P166" s="24"/>
      <c r="Q166" s="24"/>
      <c r="R166" s="24"/>
      <c r="S166" s="24"/>
      <c r="T166" s="22"/>
      <c r="U166" s="22"/>
    </row>
    <row r="167" spans="1:24" ht="22.5" hidden="1">
      <c r="A167" s="20"/>
      <c r="B167" s="33" t="s">
        <v>377</v>
      </c>
      <c r="C167" s="34">
        <v>7430511</v>
      </c>
      <c r="D167" s="44"/>
      <c r="E167" s="24">
        <v>280.85199999999998</v>
      </c>
      <c r="F167" s="24">
        <v>280.85199999999998</v>
      </c>
      <c r="G167" s="24"/>
      <c r="H167" s="24"/>
      <c r="I167" s="24"/>
      <c r="J167" s="24"/>
      <c r="K167" s="24"/>
      <c r="L167" s="24"/>
      <c r="M167" s="24"/>
      <c r="N167" s="24"/>
      <c r="O167" s="24"/>
      <c r="P167" s="24"/>
      <c r="Q167" s="24"/>
      <c r="R167" s="24"/>
      <c r="S167" s="24"/>
      <c r="T167" s="22"/>
      <c r="U167" s="22"/>
    </row>
    <row r="168" spans="1:24" s="46" customFormat="1" hidden="1">
      <c r="A168" s="37"/>
      <c r="B168" s="38" t="s">
        <v>281</v>
      </c>
      <c r="C168" s="38"/>
      <c r="D168" s="39">
        <v>1400</v>
      </c>
      <c r="E168" s="61">
        <v>2304.65</v>
      </c>
      <c r="F168" s="61">
        <v>2304.65</v>
      </c>
      <c r="G168" s="61">
        <v>0</v>
      </c>
      <c r="H168" s="61">
        <v>0</v>
      </c>
      <c r="I168" s="61">
        <v>0</v>
      </c>
      <c r="J168" s="61">
        <v>0</v>
      </c>
      <c r="K168" s="61">
        <v>0</v>
      </c>
      <c r="L168" s="61">
        <v>0</v>
      </c>
      <c r="M168" s="61">
        <v>0</v>
      </c>
      <c r="N168" s="61">
        <v>0</v>
      </c>
      <c r="O168" s="61">
        <v>0</v>
      </c>
      <c r="P168" s="61">
        <v>0</v>
      </c>
      <c r="Q168" s="61">
        <v>0</v>
      </c>
      <c r="R168" s="61">
        <v>0</v>
      </c>
      <c r="S168" s="61">
        <v>0</v>
      </c>
      <c r="T168" s="39">
        <v>0</v>
      </c>
      <c r="U168" s="39"/>
    </row>
    <row r="169" spans="1:24" ht="22.5" hidden="1">
      <c r="A169" s="20"/>
      <c r="B169" s="102" t="s">
        <v>379</v>
      </c>
      <c r="C169" s="100">
        <v>7622623</v>
      </c>
      <c r="D169" s="44">
        <v>500</v>
      </c>
      <c r="E169" s="24">
        <v>500</v>
      </c>
      <c r="F169" s="24">
        <v>500</v>
      </c>
      <c r="G169" s="24"/>
      <c r="H169" s="24"/>
      <c r="I169" s="24"/>
      <c r="J169" s="24"/>
      <c r="K169" s="24"/>
      <c r="L169" s="24"/>
      <c r="M169" s="24"/>
      <c r="N169" s="24"/>
      <c r="O169" s="24"/>
      <c r="P169" s="24"/>
      <c r="Q169" s="24"/>
      <c r="R169" s="24"/>
      <c r="S169" s="24"/>
      <c r="T169" s="22"/>
      <c r="U169" s="22"/>
    </row>
    <row r="170" spans="1:24" ht="22.5" hidden="1">
      <c r="A170" s="20"/>
      <c r="B170" s="102" t="s">
        <v>383</v>
      </c>
      <c r="C170" s="100">
        <v>7629863</v>
      </c>
      <c r="D170" s="44">
        <v>500</v>
      </c>
      <c r="E170" s="24">
        <v>500</v>
      </c>
      <c r="F170" s="24">
        <v>500</v>
      </c>
      <c r="G170" s="24"/>
      <c r="H170" s="24"/>
      <c r="I170" s="24"/>
      <c r="J170" s="24"/>
      <c r="K170" s="24"/>
      <c r="L170" s="24"/>
      <c r="M170" s="24"/>
      <c r="N170" s="24"/>
      <c r="O170" s="24"/>
      <c r="P170" s="24"/>
      <c r="Q170" s="24"/>
      <c r="R170" s="24"/>
      <c r="S170" s="24"/>
      <c r="T170" s="22"/>
      <c r="U170" s="22"/>
    </row>
    <row r="171" spans="1:24" ht="22.5" hidden="1">
      <c r="A171" s="20"/>
      <c r="B171" s="33" t="s">
        <v>386</v>
      </c>
      <c r="C171" s="100">
        <v>7615866</v>
      </c>
      <c r="D171" s="44">
        <v>400</v>
      </c>
      <c r="E171" s="24">
        <v>330.15499999999997</v>
      </c>
      <c r="F171" s="24">
        <v>330.15499999999997</v>
      </c>
      <c r="G171" s="24"/>
      <c r="H171" s="24"/>
      <c r="I171" s="24"/>
      <c r="J171" s="24"/>
      <c r="K171" s="24"/>
      <c r="L171" s="24"/>
      <c r="M171" s="24"/>
      <c r="N171" s="24"/>
      <c r="O171" s="24"/>
      <c r="P171" s="24"/>
      <c r="Q171" s="24"/>
      <c r="R171" s="24"/>
      <c r="S171" s="24"/>
      <c r="T171" s="22"/>
      <c r="U171" s="22"/>
    </row>
    <row r="172" spans="1:24" ht="39" hidden="1" customHeight="1">
      <c r="A172" s="20"/>
      <c r="B172" s="33" t="s">
        <v>391</v>
      </c>
      <c r="C172" s="34">
        <v>7430511</v>
      </c>
      <c r="D172" s="22"/>
      <c r="E172" s="24">
        <v>974.495</v>
      </c>
      <c r="F172" s="24">
        <v>974.495</v>
      </c>
      <c r="G172" s="24"/>
      <c r="H172" s="24"/>
      <c r="I172" s="24"/>
      <c r="J172" s="24"/>
      <c r="K172" s="24"/>
      <c r="L172" s="24"/>
      <c r="M172" s="24"/>
      <c r="N172" s="24"/>
      <c r="O172" s="24"/>
      <c r="P172" s="24"/>
      <c r="Q172" s="24"/>
      <c r="R172" s="24"/>
      <c r="S172" s="24"/>
      <c r="T172" s="22"/>
      <c r="U172" s="22"/>
      <c r="V172" s="1196"/>
      <c r="W172" s="1196"/>
      <c r="X172" s="1196"/>
    </row>
    <row r="173" spans="1:24" s="41" customFormat="1">
      <c r="A173" s="99"/>
      <c r="B173" s="92" t="s">
        <v>287</v>
      </c>
      <c r="C173" s="92"/>
      <c r="D173" s="93">
        <v>0</v>
      </c>
      <c r="E173" s="489">
        <v>6223</v>
      </c>
      <c r="F173" s="489">
        <v>6223</v>
      </c>
      <c r="G173" s="489">
        <v>0</v>
      </c>
      <c r="H173" s="489">
        <v>0</v>
      </c>
      <c r="I173" s="489">
        <v>0</v>
      </c>
      <c r="J173" s="489">
        <v>0</v>
      </c>
      <c r="K173" s="489">
        <v>0</v>
      </c>
      <c r="L173" s="489">
        <v>0</v>
      </c>
      <c r="M173" s="489">
        <v>0</v>
      </c>
      <c r="N173" s="489">
        <v>0</v>
      </c>
      <c r="O173" s="489">
        <v>0</v>
      </c>
      <c r="P173" s="489">
        <v>0</v>
      </c>
      <c r="Q173" s="489">
        <v>0</v>
      </c>
      <c r="R173" s="489">
        <v>0</v>
      </c>
      <c r="S173" s="489">
        <v>0</v>
      </c>
      <c r="T173" s="93">
        <v>0</v>
      </c>
      <c r="U173" s="94"/>
    </row>
    <row r="174" spans="1:24" hidden="1">
      <c r="A174" s="20"/>
      <c r="B174" s="33" t="s">
        <v>392</v>
      </c>
      <c r="C174" s="34">
        <v>7564092</v>
      </c>
      <c r="D174" s="103"/>
      <c r="E174" s="24">
        <v>2400</v>
      </c>
      <c r="F174" s="24">
        <v>2400</v>
      </c>
      <c r="G174" s="24"/>
      <c r="H174" s="24"/>
      <c r="I174" s="24"/>
      <c r="J174" s="24"/>
      <c r="K174" s="24"/>
      <c r="L174" s="24"/>
      <c r="M174" s="24"/>
      <c r="N174" s="24"/>
      <c r="O174" s="24"/>
      <c r="P174" s="24"/>
      <c r="Q174" s="24"/>
      <c r="R174" s="24"/>
      <c r="S174" s="24"/>
      <c r="T174" s="22"/>
      <c r="U174" s="22"/>
    </row>
    <row r="175" spans="1:24" hidden="1">
      <c r="A175" s="20"/>
      <c r="B175" s="33" t="s">
        <v>387</v>
      </c>
      <c r="C175" s="34">
        <v>7564084</v>
      </c>
      <c r="D175" s="103"/>
      <c r="E175" s="24">
        <v>1050</v>
      </c>
      <c r="F175" s="24">
        <v>1050</v>
      </c>
      <c r="G175" s="24"/>
      <c r="H175" s="24"/>
      <c r="I175" s="24"/>
      <c r="J175" s="24"/>
      <c r="K175" s="24"/>
      <c r="L175" s="24"/>
      <c r="M175" s="24"/>
      <c r="N175" s="24"/>
      <c r="O175" s="24"/>
      <c r="P175" s="24"/>
      <c r="Q175" s="24"/>
      <c r="R175" s="24"/>
      <c r="S175" s="24"/>
      <c r="T175" s="22"/>
      <c r="U175" s="22"/>
    </row>
    <row r="176" spans="1:24" hidden="1">
      <c r="A176" s="20"/>
      <c r="B176" s="33" t="s">
        <v>393</v>
      </c>
      <c r="C176" s="34">
        <v>7564087</v>
      </c>
      <c r="D176" s="103"/>
      <c r="E176" s="24">
        <v>373</v>
      </c>
      <c r="F176" s="24">
        <v>373</v>
      </c>
      <c r="G176" s="24"/>
      <c r="H176" s="24"/>
      <c r="I176" s="24"/>
      <c r="J176" s="24"/>
      <c r="K176" s="24"/>
      <c r="L176" s="24"/>
      <c r="M176" s="24"/>
      <c r="N176" s="24"/>
      <c r="O176" s="24"/>
      <c r="P176" s="24"/>
      <c r="Q176" s="24"/>
      <c r="R176" s="24"/>
      <c r="S176" s="24"/>
      <c r="T176" s="22"/>
      <c r="U176" s="22"/>
    </row>
    <row r="177" spans="1:21" hidden="1">
      <c r="A177" s="20"/>
      <c r="B177" s="33" t="s">
        <v>389</v>
      </c>
      <c r="C177" s="34">
        <v>7564076</v>
      </c>
      <c r="D177" s="103"/>
      <c r="E177" s="24">
        <v>2400</v>
      </c>
      <c r="F177" s="24">
        <v>2400</v>
      </c>
      <c r="G177" s="24"/>
      <c r="H177" s="24"/>
      <c r="I177" s="24"/>
      <c r="J177" s="24"/>
      <c r="K177" s="24"/>
      <c r="L177" s="24"/>
      <c r="M177" s="24"/>
      <c r="N177" s="24"/>
      <c r="O177" s="24"/>
      <c r="P177" s="24"/>
      <c r="Q177" s="24"/>
      <c r="R177" s="24"/>
      <c r="S177" s="24"/>
      <c r="T177" s="22"/>
      <c r="U177" s="22"/>
    </row>
    <row r="178" spans="1:21">
      <c r="A178" s="243">
        <v>20</v>
      </c>
      <c r="B178" s="18" t="s">
        <v>394</v>
      </c>
      <c r="C178" s="18"/>
      <c r="D178" s="19">
        <v>57687.087841</v>
      </c>
      <c r="E178" s="124">
        <v>96953.233788000012</v>
      </c>
      <c r="F178" s="124">
        <v>0</v>
      </c>
      <c r="G178" s="124">
        <v>0</v>
      </c>
      <c r="H178" s="124">
        <v>0</v>
      </c>
      <c r="I178" s="124">
        <v>0</v>
      </c>
      <c r="J178" s="124">
        <v>0</v>
      </c>
      <c r="K178" s="124">
        <v>0</v>
      </c>
      <c r="L178" s="124">
        <v>0</v>
      </c>
      <c r="M178" s="124">
        <v>0</v>
      </c>
      <c r="N178" s="124">
        <v>0</v>
      </c>
      <c r="O178" s="124">
        <v>72064.254788000006</v>
      </c>
      <c r="P178" s="124">
        <v>0</v>
      </c>
      <c r="Q178" s="124">
        <v>53876.630857000011</v>
      </c>
      <c r="R178" s="124">
        <v>24888.978999999999</v>
      </c>
      <c r="S178" s="124">
        <v>0</v>
      </c>
      <c r="T178" s="19">
        <v>0</v>
      </c>
      <c r="U178" s="241"/>
    </row>
    <row r="179" spans="1:21" s="41" customFormat="1">
      <c r="A179" s="99"/>
      <c r="B179" s="92" t="s">
        <v>183</v>
      </c>
      <c r="C179" s="92"/>
      <c r="D179" s="93">
        <v>57687.087841</v>
      </c>
      <c r="E179" s="489">
        <v>91317.108788000012</v>
      </c>
      <c r="F179" s="489">
        <v>0</v>
      </c>
      <c r="G179" s="489">
        <v>0</v>
      </c>
      <c r="H179" s="489">
        <v>0</v>
      </c>
      <c r="I179" s="489">
        <v>0</v>
      </c>
      <c r="J179" s="489">
        <v>0</v>
      </c>
      <c r="K179" s="489">
        <v>0</v>
      </c>
      <c r="L179" s="489">
        <v>0</v>
      </c>
      <c r="M179" s="489">
        <v>0</v>
      </c>
      <c r="N179" s="489">
        <v>0</v>
      </c>
      <c r="O179" s="489">
        <v>66428.129788000006</v>
      </c>
      <c r="P179" s="489">
        <v>0</v>
      </c>
      <c r="Q179" s="489">
        <v>53876.630857000011</v>
      </c>
      <c r="R179" s="489">
        <v>24888.978999999999</v>
      </c>
      <c r="S179" s="489">
        <v>0</v>
      </c>
      <c r="T179" s="93">
        <v>0</v>
      </c>
      <c r="U179" s="94"/>
    </row>
    <row r="180" spans="1:21" s="41" customFormat="1" hidden="1">
      <c r="A180" s="37"/>
      <c r="B180" s="38" t="s">
        <v>294</v>
      </c>
      <c r="C180" s="38"/>
      <c r="D180" s="39">
        <v>15000.087841</v>
      </c>
      <c r="E180" s="61">
        <v>14137.239095000001</v>
      </c>
      <c r="F180" s="61">
        <v>0</v>
      </c>
      <c r="G180" s="61">
        <v>0</v>
      </c>
      <c r="H180" s="61">
        <v>0</v>
      </c>
      <c r="I180" s="61">
        <v>0</v>
      </c>
      <c r="J180" s="61">
        <v>0</v>
      </c>
      <c r="K180" s="61">
        <v>0</v>
      </c>
      <c r="L180" s="61">
        <v>0</v>
      </c>
      <c r="M180" s="61">
        <v>0</v>
      </c>
      <c r="N180" s="61">
        <v>0</v>
      </c>
      <c r="O180" s="61">
        <v>13620.116095000001</v>
      </c>
      <c r="P180" s="61">
        <v>0</v>
      </c>
      <c r="Q180" s="61">
        <v>11781.628164000002</v>
      </c>
      <c r="R180" s="61">
        <v>517.12300000000005</v>
      </c>
      <c r="S180" s="61">
        <v>0</v>
      </c>
      <c r="T180" s="39">
        <v>0</v>
      </c>
      <c r="U180" s="39"/>
    </row>
    <row r="181" spans="1:21" ht="24.75" hidden="1" customHeight="1">
      <c r="A181" s="243"/>
      <c r="B181" s="33" t="s">
        <v>395</v>
      </c>
      <c r="C181" s="34">
        <v>7628256</v>
      </c>
      <c r="D181" s="22">
        <v>500</v>
      </c>
      <c r="E181" s="24">
        <v>500</v>
      </c>
      <c r="F181" s="24"/>
      <c r="G181" s="24"/>
      <c r="H181" s="24"/>
      <c r="I181" s="24"/>
      <c r="J181" s="24"/>
      <c r="K181" s="24"/>
      <c r="L181" s="24"/>
      <c r="M181" s="24"/>
      <c r="N181" s="24"/>
      <c r="O181" s="24">
        <v>500</v>
      </c>
      <c r="P181" s="24"/>
      <c r="Q181" s="24">
        <v>500</v>
      </c>
      <c r="R181" s="24"/>
      <c r="S181" s="24"/>
      <c r="T181" s="22"/>
      <c r="U181" s="22"/>
    </row>
    <row r="182" spans="1:21" ht="45" hidden="1">
      <c r="A182" s="243"/>
      <c r="B182" s="104" t="s">
        <v>396</v>
      </c>
      <c r="C182" s="105" t="s">
        <v>397</v>
      </c>
      <c r="D182" s="44">
        <v>1000</v>
      </c>
      <c r="E182" s="24">
        <v>633.21400000000006</v>
      </c>
      <c r="F182" s="24"/>
      <c r="G182" s="24"/>
      <c r="H182" s="24"/>
      <c r="I182" s="24"/>
      <c r="J182" s="24"/>
      <c r="K182" s="24"/>
      <c r="L182" s="24"/>
      <c r="M182" s="24"/>
      <c r="N182" s="24"/>
      <c r="O182" s="24">
        <v>633.21400000000006</v>
      </c>
      <c r="P182" s="24"/>
      <c r="Q182" s="24">
        <v>633.21400000000006</v>
      </c>
      <c r="R182" s="24"/>
      <c r="S182" s="24"/>
      <c r="T182" s="22"/>
      <c r="U182" s="22"/>
    </row>
    <row r="183" spans="1:21" ht="22.5" hidden="1">
      <c r="A183" s="243"/>
      <c r="B183" s="104" t="s">
        <v>398</v>
      </c>
      <c r="C183" s="105" t="s">
        <v>399</v>
      </c>
      <c r="D183" s="44">
        <v>503.95400000000001</v>
      </c>
      <c r="E183" s="24">
        <v>454.49299999999999</v>
      </c>
      <c r="F183" s="24"/>
      <c r="G183" s="24"/>
      <c r="H183" s="24"/>
      <c r="I183" s="24"/>
      <c r="J183" s="24"/>
      <c r="K183" s="24"/>
      <c r="L183" s="24"/>
      <c r="M183" s="24"/>
      <c r="N183" s="24"/>
      <c r="O183" s="24">
        <v>454.49299999999999</v>
      </c>
      <c r="P183" s="24"/>
      <c r="Q183" s="24">
        <v>454.49299999999999</v>
      </c>
      <c r="R183" s="24"/>
      <c r="S183" s="24"/>
      <c r="T183" s="22"/>
      <c r="U183" s="22"/>
    </row>
    <row r="184" spans="1:21" ht="33.75" hidden="1">
      <c r="A184" s="243"/>
      <c r="B184" s="104" t="s">
        <v>400</v>
      </c>
      <c r="C184" s="105" t="s">
        <v>401</v>
      </c>
      <c r="D184" s="44">
        <v>324.541</v>
      </c>
      <c r="E184" s="24">
        <v>226.99700000000001</v>
      </c>
      <c r="F184" s="24"/>
      <c r="G184" s="24"/>
      <c r="H184" s="24"/>
      <c r="I184" s="24"/>
      <c r="J184" s="24"/>
      <c r="K184" s="24"/>
      <c r="L184" s="24"/>
      <c r="M184" s="24"/>
      <c r="N184" s="24"/>
      <c r="O184" s="24">
        <v>226.99700000000001</v>
      </c>
      <c r="P184" s="24"/>
      <c r="Q184" s="24">
        <v>226.99700000000001</v>
      </c>
      <c r="R184" s="24"/>
      <c r="S184" s="24"/>
      <c r="T184" s="22"/>
      <c r="U184" s="22"/>
    </row>
    <row r="185" spans="1:21" ht="22.5" hidden="1">
      <c r="A185" s="243"/>
      <c r="B185" s="104" t="s">
        <v>402</v>
      </c>
      <c r="C185" s="105" t="s">
        <v>403</v>
      </c>
      <c r="D185" s="44">
        <v>1105.5050000000001</v>
      </c>
      <c r="E185" s="24">
        <v>812.85</v>
      </c>
      <c r="F185" s="24"/>
      <c r="G185" s="24"/>
      <c r="H185" s="24"/>
      <c r="I185" s="24"/>
      <c r="J185" s="24"/>
      <c r="K185" s="24"/>
      <c r="L185" s="24"/>
      <c r="M185" s="24"/>
      <c r="N185" s="24"/>
      <c r="O185" s="24">
        <v>812.85</v>
      </c>
      <c r="P185" s="24"/>
      <c r="Q185" s="24">
        <v>812.85</v>
      </c>
      <c r="R185" s="24"/>
      <c r="S185" s="24"/>
      <c r="T185" s="22"/>
      <c r="U185" s="22"/>
    </row>
    <row r="186" spans="1:21" ht="33.75" hidden="1">
      <c r="A186" s="243"/>
      <c r="B186" s="104" t="s">
        <v>404</v>
      </c>
      <c r="C186" s="105" t="s">
        <v>405</v>
      </c>
      <c r="D186" s="44">
        <v>795</v>
      </c>
      <c r="E186" s="24">
        <v>795</v>
      </c>
      <c r="F186" s="24"/>
      <c r="G186" s="24"/>
      <c r="H186" s="24"/>
      <c r="I186" s="24"/>
      <c r="J186" s="24"/>
      <c r="K186" s="24"/>
      <c r="L186" s="24"/>
      <c r="M186" s="24"/>
      <c r="N186" s="24"/>
      <c r="O186" s="24">
        <v>795</v>
      </c>
      <c r="P186" s="24"/>
      <c r="Q186" s="24">
        <v>795</v>
      </c>
      <c r="R186" s="24"/>
      <c r="S186" s="24"/>
      <c r="T186" s="22"/>
      <c r="U186" s="22"/>
    </row>
    <row r="187" spans="1:21" ht="22.5" hidden="1">
      <c r="A187" s="243"/>
      <c r="B187" s="104" t="s">
        <v>406</v>
      </c>
      <c r="C187" s="105" t="s">
        <v>407</v>
      </c>
      <c r="D187" s="44">
        <v>688</v>
      </c>
      <c r="E187" s="482">
        <v>688</v>
      </c>
      <c r="F187" s="24"/>
      <c r="G187" s="24"/>
      <c r="H187" s="24"/>
      <c r="I187" s="24"/>
      <c r="J187" s="24"/>
      <c r="K187" s="24"/>
      <c r="L187" s="24"/>
      <c r="M187" s="24"/>
      <c r="N187" s="24"/>
      <c r="O187" s="482">
        <v>688</v>
      </c>
      <c r="P187" s="24"/>
      <c r="Q187" s="482">
        <v>688</v>
      </c>
      <c r="R187" s="24"/>
      <c r="S187" s="24"/>
      <c r="T187" s="22"/>
      <c r="U187" s="22"/>
    </row>
    <row r="188" spans="1:21" ht="22.5" hidden="1">
      <c r="A188" s="243"/>
      <c r="B188" s="104" t="s">
        <v>408</v>
      </c>
      <c r="C188" s="105" t="s">
        <v>409</v>
      </c>
      <c r="D188" s="44">
        <v>1000</v>
      </c>
      <c r="E188" s="482">
        <v>1000</v>
      </c>
      <c r="F188" s="24"/>
      <c r="G188" s="24"/>
      <c r="H188" s="24"/>
      <c r="I188" s="24"/>
      <c r="J188" s="24"/>
      <c r="K188" s="24"/>
      <c r="L188" s="24"/>
      <c r="M188" s="24"/>
      <c r="N188" s="24"/>
      <c r="O188" s="482">
        <v>1000</v>
      </c>
      <c r="P188" s="24"/>
      <c r="Q188" s="482">
        <v>1000</v>
      </c>
      <c r="R188" s="24"/>
      <c r="S188" s="24"/>
      <c r="T188" s="22"/>
      <c r="U188" s="22"/>
    </row>
    <row r="189" spans="1:21" ht="33.75" hidden="1">
      <c r="A189" s="243"/>
      <c r="B189" s="49" t="s">
        <v>410</v>
      </c>
      <c r="C189" s="34">
        <v>7152699</v>
      </c>
      <c r="D189" s="22">
        <v>61.27</v>
      </c>
      <c r="E189" s="24">
        <v>61.27</v>
      </c>
      <c r="F189" s="24"/>
      <c r="G189" s="24"/>
      <c r="H189" s="24"/>
      <c r="I189" s="24"/>
      <c r="J189" s="24"/>
      <c r="K189" s="24"/>
      <c r="L189" s="24"/>
      <c r="M189" s="24"/>
      <c r="N189" s="24"/>
      <c r="O189" s="24">
        <v>61.27</v>
      </c>
      <c r="P189" s="24"/>
      <c r="Q189" s="24"/>
      <c r="R189" s="24"/>
      <c r="S189" s="24"/>
      <c r="T189" s="22"/>
      <c r="U189" s="22"/>
    </row>
    <row r="190" spans="1:21" ht="22.5" hidden="1">
      <c r="A190" s="243"/>
      <c r="B190" s="45" t="s">
        <v>411</v>
      </c>
      <c r="C190" s="43">
        <v>7333632</v>
      </c>
      <c r="D190" s="44">
        <v>178.001</v>
      </c>
      <c r="E190" s="482">
        <v>178.001</v>
      </c>
      <c r="F190" s="24"/>
      <c r="G190" s="24"/>
      <c r="H190" s="24"/>
      <c r="I190" s="24"/>
      <c r="J190" s="24"/>
      <c r="K190" s="24"/>
      <c r="L190" s="24"/>
      <c r="M190" s="24"/>
      <c r="N190" s="24"/>
      <c r="O190" s="482">
        <v>178.001</v>
      </c>
      <c r="P190" s="24"/>
      <c r="Q190" s="482">
        <v>178.001</v>
      </c>
      <c r="R190" s="24"/>
      <c r="S190" s="24"/>
      <c r="T190" s="22"/>
      <c r="U190" s="22"/>
    </row>
    <row r="191" spans="1:21" ht="33.75" hidden="1">
      <c r="A191" s="243"/>
      <c r="B191" s="45" t="s">
        <v>412</v>
      </c>
      <c r="C191" s="43">
        <v>7444256</v>
      </c>
      <c r="D191" s="44">
        <v>371.09300000000002</v>
      </c>
      <c r="E191" s="24">
        <v>339.88165400000003</v>
      </c>
      <c r="F191" s="24"/>
      <c r="G191" s="24"/>
      <c r="H191" s="24"/>
      <c r="I191" s="24"/>
      <c r="J191" s="24"/>
      <c r="K191" s="24"/>
      <c r="L191" s="24"/>
      <c r="M191" s="24"/>
      <c r="N191" s="24"/>
      <c r="O191" s="24">
        <v>339.88165400000003</v>
      </c>
      <c r="P191" s="24"/>
      <c r="Q191" s="24">
        <v>339.88165400000003</v>
      </c>
      <c r="R191" s="24"/>
      <c r="S191" s="24"/>
      <c r="T191" s="22"/>
      <c r="U191" s="22"/>
    </row>
    <row r="192" spans="1:21" ht="33.75" hidden="1">
      <c r="A192" s="243"/>
      <c r="B192" s="45" t="s">
        <v>413</v>
      </c>
      <c r="C192" s="43">
        <v>7303454</v>
      </c>
      <c r="D192" s="44">
        <v>114.58799999999999</v>
      </c>
      <c r="E192" s="482">
        <v>114.58799999999999</v>
      </c>
      <c r="F192" s="24"/>
      <c r="G192" s="24"/>
      <c r="H192" s="24"/>
      <c r="I192" s="24"/>
      <c r="J192" s="24"/>
      <c r="K192" s="24"/>
      <c r="L192" s="24"/>
      <c r="M192" s="24"/>
      <c r="N192" s="24"/>
      <c r="O192" s="482">
        <v>114.58799999999999</v>
      </c>
      <c r="P192" s="24"/>
      <c r="Q192" s="482">
        <v>114.58799999999999</v>
      </c>
      <c r="R192" s="24"/>
      <c r="S192" s="24"/>
      <c r="T192" s="22"/>
      <c r="U192" s="22"/>
    </row>
    <row r="193" spans="1:21" ht="56.25" hidden="1">
      <c r="A193" s="243"/>
      <c r="B193" s="45" t="s">
        <v>414</v>
      </c>
      <c r="C193" s="43">
        <v>7500143</v>
      </c>
      <c r="D193" s="44">
        <v>389.97</v>
      </c>
      <c r="E193" s="482">
        <v>389.97</v>
      </c>
      <c r="F193" s="24"/>
      <c r="G193" s="24"/>
      <c r="H193" s="24"/>
      <c r="I193" s="24"/>
      <c r="J193" s="24"/>
      <c r="K193" s="24"/>
      <c r="L193" s="24"/>
      <c r="M193" s="24"/>
      <c r="N193" s="24"/>
      <c r="O193" s="482">
        <v>389.97</v>
      </c>
      <c r="P193" s="24"/>
      <c r="Q193" s="482">
        <v>389.97</v>
      </c>
      <c r="R193" s="24"/>
      <c r="S193" s="24"/>
      <c r="T193" s="22"/>
      <c r="U193" s="22"/>
    </row>
    <row r="194" spans="1:21" ht="22.5" hidden="1">
      <c r="A194" s="243"/>
      <c r="B194" s="45" t="s">
        <v>415</v>
      </c>
      <c r="C194" s="43">
        <v>7218170</v>
      </c>
      <c r="D194" s="44">
        <v>419.363</v>
      </c>
      <c r="E194" s="482">
        <v>409.18900000000002</v>
      </c>
      <c r="F194" s="24"/>
      <c r="G194" s="24"/>
      <c r="H194" s="24"/>
      <c r="I194" s="24"/>
      <c r="J194" s="24"/>
      <c r="K194" s="24"/>
      <c r="L194" s="24"/>
      <c r="M194" s="24"/>
      <c r="N194" s="24"/>
      <c r="O194" s="482">
        <v>409.18900000000002</v>
      </c>
      <c r="P194" s="24"/>
      <c r="Q194" s="24"/>
      <c r="R194" s="24"/>
      <c r="S194" s="24"/>
      <c r="T194" s="22"/>
      <c r="U194" s="22"/>
    </row>
    <row r="195" spans="1:21" ht="22.5" hidden="1">
      <c r="A195" s="243"/>
      <c r="B195" s="63" t="s">
        <v>416</v>
      </c>
      <c r="C195" s="34">
        <v>7133838</v>
      </c>
      <c r="D195" s="44">
        <v>3680.7739099999999</v>
      </c>
      <c r="E195" s="482">
        <v>3680.77351</v>
      </c>
      <c r="F195" s="24"/>
      <c r="G195" s="24"/>
      <c r="H195" s="24"/>
      <c r="I195" s="24"/>
      <c r="J195" s="24"/>
      <c r="K195" s="24"/>
      <c r="L195" s="24"/>
      <c r="M195" s="24"/>
      <c r="N195" s="24"/>
      <c r="O195" s="482">
        <v>3680.77351</v>
      </c>
      <c r="P195" s="24"/>
      <c r="Q195" s="482">
        <v>3680.77351</v>
      </c>
      <c r="R195" s="24"/>
      <c r="S195" s="24"/>
      <c r="T195" s="22"/>
      <c r="U195" s="22"/>
    </row>
    <row r="196" spans="1:21" ht="22.5" hidden="1">
      <c r="A196" s="243"/>
      <c r="B196" s="49" t="s">
        <v>417</v>
      </c>
      <c r="C196" s="105">
        <v>7316289</v>
      </c>
      <c r="D196" s="22">
        <v>1000</v>
      </c>
      <c r="E196" s="24">
        <v>1000</v>
      </c>
      <c r="F196" s="24"/>
      <c r="G196" s="24"/>
      <c r="H196" s="24"/>
      <c r="I196" s="24"/>
      <c r="J196" s="24"/>
      <c r="K196" s="24"/>
      <c r="L196" s="24"/>
      <c r="M196" s="24"/>
      <c r="N196" s="24"/>
      <c r="O196" s="24">
        <v>1000</v>
      </c>
      <c r="P196" s="24"/>
      <c r="Q196" s="24">
        <v>1000</v>
      </c>
      <c r="R196" s="24"/>
      <c r="S196" s="24"/>
      <c r="T196" s="22"/>
      <c r="U196" s="22"/>
    </row>
    <row r="197" spans="1:21" ht="33.75" hidden="1">
      <c r="A197" s="243"/>
      <c r="B197" s="33" t="s">
        <v>418</v>
      </c>
      <c r="C197" s="88">
        <v>7490024</v>
      </c>
      <c r="D197" s="22">
        <v>1000</v>
      </c>
      <c r="E197" s="24">
        <v>1000</v>
      </c>
      <c r="F197" s="24"/>
      <c r="G197" s="24"/>
      <c r="H197" s="24"/>
      <c r="I197" s="24"/>
      <c r="J197" s="24"/>
      <c r="K197" s="24"/>
      <c r="L197" s="24"/>
      <c r="M197" s="24"/>
      <c r="N197" s="24"/>
      <c r="O197" s="24">
        <v>1000</v>
      </c>
      <c r="P197" s="24"/>
      <c r="Q197" s="24"/>
      <c r="R197" s="24"/>
      <c r="S197" s="24"/>
      <c r="T197" s="22"/>
      <c r="U197" s="22"/>
    </row>
    <row r="198" spans="1:21" ht="22.5" hidden="1">
      <c r="A198" s="243"/>
      <c r="B198" s="49" t="s">
        <v>419</v>
      </c>
      <c r="C198" s="88">
        <v>7384040</v>
      </c>
      <c r="D198" s="22">
        <v>500</v>
      </c>
      <c r="E198" s="24">
        <v>517.12300000000005</v>
      </c>
      <c r="F198" s="24"/>
      <c r="G198" s="24"/>
      <c r="H198" s="24"/>
      <c r="I198" s="24"/>
      <c r="J198" s="24"/>
      <c r="K198" s="24"/>
      <c r="L198" s="24"/>
      <c r="M198" s="24"/>
      <c r="N198" s="24"/>
      <c r="O198" s="24"/>
      <c r="P198" s="24"/>
      <c r="Q198" s="24"/>
      <c r="R198" s="24">
        <v>517.12300000000005</v>
      </c>
      <c r="S198" s="24"/>
      <c r="T198" s="22"/>
      <c r="U198" s="22"/>
    </row>
    <row r="199" spans="1:21" ht="22.5" hidden="1">
      <c r="A199" s="243"/>
      <c r="B199" s="33" t="s">
        <v>420</v>
      </c>
      <c r="C199" s="34">
        <v>7009548</v>
      </c>
      <c r="D199" s="44">
        <v>368.028931</v>
      </c>
      <c r="E199" s="482">
        <v>368.028931</v>
      </c>
      <c r="F199" s="24"/>
      <c r="G199" s="24"/>
      <c r="H199" s="24"/>
      <c r="I199" s="24"/>
      <c r="J199" s="24"/>
      <c r="K199" s="24"/>
      <c r="L199" s="24"/>
      <c r="M199" s="24"/>
      <c r="N199" s="24"/>
      <c r="O199" s="482">
        <v>368.028931</v>
      </c>
      <c r="P199" s="24"/>
      <c r="Q199" s="24"/>
      <c r="R199" s="24"/>
      <c r="S199" s="24"/>
      <c r="T199" s="22"/>
      <c r="U199" s="22"/>
    </row>
    <row r="200" spans="1:21" ht="33.75" hidden="1">
      <c r="A200" s="243"/>
      <c r="B200" s="49" t="s">
        <v>421</v>
      </c>
      <c r="C200" s="88">
        <v>7583108</v>
      </c>
      <c r="D200" s="22">
        <v>1000</v>
      </c>
      <c r="E200" s="24">
        <v>967.86</v>
      </c>
      <c r="F200" s="24"/>
      <c r="G200" s="24"/>
      <c r="H200" s="24"/>
      <c r="I200" s="24"/>
      <c r="J200" s="24"/>
      <c r="K200" s="24"/>
      <c r="L200" s="24"/>
      <c r="M200" s="24"/>
      <c r="N200" s="24"/>
      <c r="O200" s="24">
        <v>967.86</v>
      </c>
      <c r="P200" s="24"/>
      <c r="Q200" s="24">
        <v>967.86</v>
      </c>
      <c r="R200" s="24"/>
      <c r="S200" s="24"/>
      <c r="T200" s="22"/>
      <c r="U200" s="22"/>
    </row>
    <row r="201" spans="1:21" s="41" customFormat="1" hidden="1">
      <c r="A201" s="37"/>
      <c r="B201" s="38" t="s">
        <v>282</v>
      </c>
      <c r="C201" s="38"/>
      <c r="D201" s="39">
        <v>0</v>
      </c>
      <c r="E201" s="61">
        <v>25160</v>
      </c>
      <c r="F201" s="61">
        <v>0</v>
      </c>
      <c r="G201" s="61">
        <v>0</v>
      </c>
      <c r="H201" s="61">
        <v>0</v>
      </c>
      <c r="I201" s="61">
        <v>0</v>
      </c>
      <c r="J201" s="61">
        <v>0</v>
      </c>
      <c r="K201" s="61">
        <v>0</v>
      </c>
      <c r="L201" s="61">
        <v>0</v>
      </c>
      <c r="M201" s="61">
        <v>0</v>
      </c>
      <c r="N201" s="61">
        <v>0</v>
      </c>
      <c r="O201" s="61">
        <v>788.14400000000001</v>
      </c>
      <c r="P201" s="61">
        <v>0</v>
      </c>
      <c r="Q201" s="61">
        <v>0</v>
      </c>
      <c r="R201" s="61">
        <v>24371.856</v>
      </c>
      <c r="S201" s="61">
        <v>0</v>
      </c>
      <c r="T201" s="39">
        <v>0</v>
      </c>
      <c r="U201" s="93"/>
    </row>
    <row r="202" spans="1:21" hidden="1">
      <c r="A202" s="243"/>
      <c r="B202" s="33" t="s">
        <v>422</v>
      </c>
      <c r="C202" s="34">
        <v>7459272</v>
      </c>
      <c r="D202" s="22"/>
      <c r="E202" s="24">
        <v>24371.856</v>
      </c>
      <c r="F202" s="24"/>
      <c r="G202" s="24"/>
      <c r="H202" s="24"/>
      <c r="I202" s="24"/>
      <c r="J202" s="24"/>
      <c r="K202" s="24"/>
      <c r="L202" s="24"/>
      <c r="M202" s="24"/>
      <c r="N202" s="24"/>
      <c r="O202" s="24"/>
      <c r="P202" s="24"/>
      <c r="Q202" s="24"/>
      <c r="R202" s="24">
        <v>24371.856</v>
      </c>
      <c r="S202" s="24"/>
      <c r="T202" s="22"/>
      <c r="U202" s="22"/>
    </row>
    <row r="203" spans="1:21" ht="33.75" hidden="1">
      <c r="A203" s="243"/>
      <c r="B203" s="33" t="s">
        <v>423</v>
      </c>
      <c r="C203" s="34">
        <v>7507954</v>
      </c>
      <c r="D203" s="22"/>
      <c r="E203" s="24">
        <v>788.14400000000001</v>
      </c>
      <c r="F203" s="24"/>
      <c r="G203" s="24"/>
      <c r="H203" s="24"/>
      <c r="I203" s="24"/>
      <c r="J203" s="24"/>
      <c r="K203" s="24"/>
      <c r="L203" s="24"/>
      <c r="M203" s="24"/>
      <c r="N203" s="24"/>
      <c r="O203" s="24">
        <v>788.14400000000001</v>
      </c>
      <c r="P203" s="24"/>
      <c r="Q203" s="24"/>
      <c r="R203" s="24"/>
      <c r="S203" s="24"/>
      <c r="T203" s="22"/>
      <c r="U203" s="22"/>
    </row>
    <row r="204" spans="1:21" s="41" customFormat="1" ht="22.5" hidden="1">
      <c r="A204" s="37"/>
      <c r="B204" s="38" t="s">
        <v>424</v>
      </c>
      <c r="C204" s="38"/>
      <c r="D204" s="39">
        <v>0</v>
      </c>
      <c r="E204" s="61">
        <v>150.10400000000001</v>
      </c>
      <c r="F204" s="61">
        <v>0</v>
      </c>
      <c r="G204" s="61">
        <v>0</v>
      </c>
      <c r="H204" s="61">
        <v>0</v>
      </c>
      <c r="I204" s="61">
        <v>0</v>
      </c>
      <c r="J204" s="61">
        <v>0</v>
      </c>
      <c r="K204" s="61">
        <v>0</v>
      </c>
      <c r="L204" s="61">
        <v>0</v>
      </c>
      <c r="M204" s="61">
        <v>0</v>
      </c>
      <c r="N204" s="61">
        <v>0</v>
      </c>
      <c r="O204" s="61">
        <v>150.10400000000001</v>
      </c>
      <c r="P204" s="61">
        <v>0</v>
      </c>
      <c r="Q204" s="61">
        <v>0</v>
      </c>
      <c r="R204" s="61">
        <v>0</v>
      </c>
      <c r="S204" s="61">
        <v>0</v>
      </c>
      <c r="T204" s="39">
        <v>0</v>
      </c>
      <c r="U204" s="93"/>
    </row>
    <row r="205" spans="1:21" ht="33.75" hidden="1">
      <c r="A205" s="243"/>
      <c r="B205" s="33" t="s">
        <v>425</v>
      </c>
      <c r="C205" s="34">
        <v>7490024</v>
      </c>
      <c r="D205" s="22"/>
      <c r="E205" s="24">
        <v>150.10400000000001</v>
      </c>
      <c r="F205" s="24"/>
      <c r="G205" s="24"/>
      <c r="H205" s="24"/>
      <c r="I205" s="24"/>
      <c r="J205" s="24"/>
      <c r="K205" s="24"/>
      <c r="L205" s="24"/>
      <c r="M205" s="24"/>
      <c r="N205" s="24"/>
      <c r="O205" s="24">
        <v>150.10400000000001</v>
      </c>
      <c r="P205" s="24"/>
      <c r="Q205" s="24"/>
      <c r="R205" s="24"/>
      <c r="S205" s="24"/>
      <c r="T205" s="22"/>
      <c r="U205" s="22"/>
    </row>
    <row r="206" spans="1:21" s="41" customFormat="1" hidden="1">
      <c r="A206" s="37"/>
      <c r="B206" s="38" t="s">
        <v>283</v>
      </c>
      <c r="C206" s="38"/>
      <c r="D206" s="39">
        <v>42687</v>
      </c>
      <c r="E206" s="61">
        <v>51869.765693000008</v>
      </c>
      <c r="F206" s="61">
        <v>0</v>
      </c>
      <c r="G206" s="61">
        <v>0</v>
      </c>
      <c r="H206" s="61">
        <v>0</v>
      </c>
      <c r="I206" s="61">
        <v>0</v>
      </c>
      <c r="J206" s="61">
        <v>0</v>
      </c>
      <c r="K206" s="61">
        <v>0</v>
      </c>
      <c r="L206" s="61">
        <v>0</v>
      </c>
      <c r="M206" s="61">
        <v>0</v>
      </c>
      <c r="N206" s="61">
        <v>0</v>
      </c>
      <c r="O206" s="61">
        <v>51869.765693000008</v>
      </c>
      <c r="P206" s="61">
        <v>0</v>
      </c>
      <c r="Q206" s="61">
        <v>42095.002693000009</v>
      </c>
      <c r="R206" s="61">
        <v>0</v>
      </c>
      <c r="S206" s="61">
        <v>0</v>
      </c>
      <c r="T206" s="39">
        <v>0</v>
      </c>
      <c r="U206" s="93"/>
    </row>
    <row r="207" spans="1:21" ht="22.5" hidden="1">
      <c r="A207" s="243"/>
      <c r="B207" s="48" t="s">
        <v>426</v>
      </c>
      <c r="C207" s="47">
        <v>7396528</v>
      </c>
      <c r="D207" s="44">
        <v>17884</v>
      </c>
      <c r="E207" s="24">
        <v>18970.525000000001</v>
      </c>
      <c r="F207" s="24"/>
      <c r="G207" s="24"/>
      <c r="H207" s="24"/>
      <c r="I207" s="24"/>
      <c r="J207" s="24"/>
      <c r="K207" s="24"/>
      <c r="L207" s="24"/>
      <c r="M207" s="24"/>
      <c r="N207" s="24"/>
      <c r="O207" s="24">
        <v>18970.525000000001</v>
      </c>
      <c r="P207" s="24"/>
      <c r="Q207" s="24">
        <v>18970.525000000001</v>
      </c>
      <c r="R207" s="24"/>
      <c r="S207" s="24"/>
      <c r="T207" s="22"/>
      <c r="U207" s="22"/>
    </row>
    <row r="208" spans="1:21" ht="33.75" hidden="1">
      <c r="A208" s="243"/>
      <c r="B208" s="48" t="s">
        <v>427</v>
      </c>
      <c r="C208" s="50">
        <v>7585886</v>
      </c>
      <c r="D208" s="44">
        <v>7000</v>
      </c>
      <c r="E208" s="24">
        <v>4849.4219999999996</v>
      </c>
      <c r="F208" s="24"/>
      <c r="G208" s="24"/>
      <c r="H208" s="24"/>
      <c r="I208" s="24"/>
      <c r="J208" s="24"/>
      <c r="K208" s="24"/>
      <c r="L208" s="24"/>
      <c r="M208" s="24"/>
      <c r="N208" s="24"/>
      <c r="O208" s="24">
        <v>4849.4219999999996</v>
      </c>
      <c r="P208" s="24"/>
      <c r="Q208" s="24">
        <v>4849.4219999999996</v>
      </c>
      <c r="R208" s="24"/>
      <c r="S208" s="24"/>
      <c r="T208" s="22"/>
      <c r="U208" s="22"/>
    </row>
    <row r="209" spans="1:21" ht="45" hidden="1">
      <c r="A209" s="243"/>
      <c r="B209" s="49" t="s">
        <v>428</v>
      </c>
      <c r="C209" s="47">
        <v>7538863</v>
      </c>
      <c r="D209" s="44">
        <v>8000</v>
      </c>
      <c r="E209" s="24">
        <v>9774.7630000000008</v>
      </c>
      <c r="F209" s="24"/>
      <c r="G209" s="24"/>
      <c r="H209" s="24"/>
      <c r="I209" s="24"/>
      <c r="J209" s="24"/>
      <c r="K209" s="24"/>
      <c r="L209" s="24"/>
      <c r="M209" s="24"/>
      <c r="N209" s="24"/>
      <c r="O209" s="24">
        <v>9774.7630000000008</v>
      </c>
      <c r="P209" s="24"/>
      <c r="Q209" s="24"/>
      <c r="R209" s="24"/>
      <c r="S209" s="24"/>
      <c r="T209" s="22"/>
      <c r="U209" s="22"/>
    </row>
    <row r="210" spans="1:21" ht="22.5" hidden="1">
      <c r="A210" s="243"/>
      <c r="B210" s="49" t="s">
        <v>429</v>
      </c>
      <c r="C210" s="50">
        <v>7561259</v>
      </c>
      <c r="D210" s="44">
        <v>4323</v>
      </c>
      <c r="E210" s="24">
        <v>4318.1679999999997</v>
      </c>
      <c r="F210" s="24"/>
      <c r="G210" s="24"/>
      <c r="H210" s="24"/>
      <c r="I210" s="24"/>
      <c r="J210" s="24"/>
      <c r="K210" s="24"/>
      <c r="L210" s="24"/>
      <c r="M210" s="24"/>
      <c r="N210" s="24"/>
      <c r="O210" s="24">
        <v>4318.1679999999997</v>
      </c>
      <c r="P210" s="24"/>
      <c r="Q210" s="24">
        <v>4318.1679999999997</v>
      </c>
      <c r="R210" s="24"/>
      <c r="S210" s="24"/>
      <c r="T210" s="22"/>
      <c r="U210" s="22"/>
    </row>
    <row r="211" spans="1:21" ht="67.5" hidden="1">
      <c r="A211" s="243"/>
      <c r="B211" s="106" t="s">
        <v>430</v>
      </c>
      <c r="C211" s="105">
        <v>7559915</v>
      </c>
      <c r="D211" s="44">
        <v>2480</v>
      </c>
      <c r="E211" s="24">
        <v>2984.1779999999999</v>
      </c>
      <c r="F211" s="24"/>
      <c r="G211" s="24"/>
      <c r="H211" s="24"/>
      <c r="I211" s="24"/>
      <c r="J211" s="24"/>
      <c r="K211" s="24"/>
      <c r="L211" s="24"/>
      <c r="M211" s="24"/>
      <c r="N211" s="24"/>
      <c r="O211" s="24">
        <v>2984.1779999999999</v>
      </c>
      <c r="P211" s="24"/>
      <c r="Q211" s="24">
        <v>2984.1779999999999</v>
      </c>
      <c r="R211" s="24"/>
      <c r="S211" s="24"/>
      <c r="T211" s="22"/>
      <c r="U211" s="22"/>
    </row>
    <row r="212" spans="1:21" ht="22.5" hidden="1">
      <c r="A212" s="243"/>
      <c r="B212" s="106" t="s">
        <v>431</v>
      </c>
      <c r="C212" s="105" t="s">
        <v>432</v>
      </c>
      <c r="D212" s="44">
        <v>2000</v>
      </c>
      <c r="E212" s="24">
        <v>1970.402</v>
      </c>
      <c r="F212" s="24"/>
      <c r="G212" s="24"/>
      <c r="H212" s="24"/>
      <c r="I212" s="24"/>
      <c r="J212" s="24"/>
      <c r="K212" s="24"/>
      <c r="L212" s="24"/>
      <c r="M212" s="24"/>
      <c r="N212" s="24"/>
      <c r="O212" s="24">
        <v>1970.402</v>
      </c>
      <c r="P212" s="24"/>
      <c r="Q212" s="24">
        <v>1970.402</v>
      </c>
      <c r="R212" s="24"/>
      <c r="S212" s="24"/>
      <c r="T212" s="22"/>
      <c r="U212" s="22"/>
    </row>
    <row r="213" spans="1:21" ht="45" hidden="1">
      <c r="A213" s="243"/>
      <c r="B213" s="107" t="s">
        <v>433</v>
      </c>
      <c r="C213" s="108" t="s">
        <v>434</v>
      </c>
      <c r="D213" s="86">
        <v>1000</v>
      </c>
      <c r="E213" s="490">
        <v>422.18200000000002</v>
      </c>
      <c r="F213" s="24"/>
      <c r="G213" s="24"/>
      <c r="H213" s="24"/>
      <c r="I213" s="24"/>
      <c r="J213" s="24"/>
      <c r="K213" s="24"/>
      <c r="L213" s="24"/>
      <c r="M213" s="24"/>
      <c r="N213" s="24"/>
      <c r="O213" s="24">
        <v>422.18200000000002</v>
      </c>
      <c r="P213" s="24"/>
      <c r="Q213" s="24">
        <v>422.18200000000002</v>
      </c>
      <c r="R213" s="24"/>
      <c r="S213" s="24"/>
      <c r="T213" s="22"/>
      <c r="U213" s="22"/>
    </row>
    <row r="214" spans="1:21" ht="33.75" hidden="1">
      <c r="A214" s="243"/>
      <c r="B214" s="69" t="s">
        <v>435</v>
      </c>
      <c r="C214" s="70">
        <v>7505074</v>
      </c>
      <c r="D214" s="71"/>
      <c r="E214" s="24">
        <v>218.687265</v>
      </c>
      <c r="F214" s="24"/>
      <c r="G214" s="24"/>
      <c r="H214" s="24"/>
      <c r="I214" s="24"/>
      <c r="J214" s="24"/>
      <c r="K214" s="24"/>
      <c r="L214" s="24"/>
      <c r="M214" s="24"/>
      <c r="N214" s="24"/>
      <c r="O214" s="24">
        <v>218.687265</v>
      </c>
      <c r="P214" s="24"/>
      <c r="Q214" s="24">
        <v>218.687265</v>
      </c>
      <c r="R214" s="24"/>
      <c r="S214" s="24"/>
      <c r="T214" s="22"/>
      <c r="U214" s="22"/>
    </row>
    <row r="215" spans="1:21" ht="67.5" hidden="1">
      <c r="A215" s="243"/>
      <c r="B215" s="69" t="s">
        <v>436</v>
      </c>
      <c r="C215" s="70">
        <v>7585328</v>
      </c>
      <c r="D215" s="71"/>
      <c r="E215" s="24">
        <v>56</v>
      </c>
      <c r="F215" s="24"/>
      <c r="G215" s="24"/>
      <c r="H215" s="24"/>
      <c r="I215" s="24"/>
      <c r="J215" s="24"/>
      <c r="K215" s="24"/>
      <c r="L215" s="24"/>
      <c r="M215" s="24"/>
      <c r="N215" s="24"/>
      <c r="O215" s="24">
        <v>56</v>
      </c>
      <c r="P215" s="24"/>
      <c r="Q215" s="24">
        <v>56</v>
      </c>
      <c r="R215" s="24"/>
      <c r="S215" s="24"/>
      <c r="T215" s="22"/>
      <c r="U215" s="22"/>
    </row>
    <row r="216" spans="1:21" ht="22.5" hidden="1">
      <c r="A216" s="243"/>
      <c r="B216" s="69" t="s">
        <v>437</v>
      </c>
      <c r="C216" s="70">
        <v>7352077</v>
      </c>
      <c r="D216" s="71"/>
      <c r="E216" s="24">
        <v>11</v>
      </c>
      <c r="F216" s="24"/>
      <c r="G216" s="24"/>
      <c r="H216" s="24"/>
      <c r="I216" s="24"/>
      <c r="J216" s="24"/>
      <c r="K216" s="24"/>
      <c r="L216" s="24"/>
      <c r="M216" s="24"/>
      <c r="N216" s="24"/>
      <c r="O216" s="24">
        <v>11</v>
      </c>
      <c r="P216" s="24"/>
      <c r="Q216" s="24">
        <v>11</v>
      </c>
      <c r="R216" s="24"/>
      <c r="S216" s="24"/>
      <c r="T216" s="22"/>
      <c r="U216" s="22"/>
    </row>
    <row r="217" spans="1:21" ht="22.5" hidden="1">
      <c r="A217" s="243"/>
      <c r="B217" s="69" t="s">
        <v>438</v>
      </c>
      <c r="C217" s="70">
        <v>7352371</v>
      </c>
      <c r="D217" s="71"/>
      <c r="E217" s="24">
        <v>69.948700000000002</v>
      </c>
      <c r="F217" s="24"/>
      <c r="G217" s="24"/>
      <c r="H217" s="24"/>
      <c r="I217" s="24"/>
      <c r="J217" s="24"/>
      <c r="K217" s="24"/>
      <c r="L217" s="24"/>
      <c r="M217" s="24"/>
      <c r="N217" s="24"/>
      <c r="O217" s="24">
        <v>69.948700000000002</v>
      </c>
      <c r="P217" s="24"/>
      <c r="Q217" s="24">
        <v>69.948700000000002</v>
      </c>
      <c r="R217" s="24"/>
      <c r="S217" s="24"/>
      <c r="T217" s="22"/>
      <c r="U217" s="22"/>
    </row>
    <row r="218" spans="1:21" ht="22.5" hidden="1">
      <c r="A218" s="243"/>
      <c r="B218" s="69" t="s">
        <v>439</v>
      </c>
      <c r="C218" s="70">
        <v>7352614</v>
      </c>
      <c r="D218" s="71"/>
      <c r="E218" s="24">
        <v>1377.5054</v>
      </c>
      <c r="F218" s="24"/>
      <c r="G218" s="24"/>
      <c r="H218" s="24"/>
      <c r="I218" s="24"/>
      <c r="J218" s="24"/>
      <c r="K218" s="24"/>
      <c r="L218" s="24"/>
      <c r="M218" s="24"/>
      <c r="N218" s="24"/>
      <c r="O218" s="24">
        <v>1377.5054</v>
      </c>
      <c r="P218" s="24"/>
      <c r="Q218" s="24">
        <v>1377.5054</v>
      </c>
      <c r="R218" s="24"/>
      <c r="S218" s="24"/>
      <c r="T218" s="22"/>
      <c r="U218" s="22"/>
    </row>
    <row r="219" spans="1:21" ht="22.5" hidden="1">
      <c r="A219" s="243"/>
      <c r="B219" s="69" t="s">
        <v>440</v>
      </c>
      <c r="C219" s="70">
        <v>7358200</v>
      </c>
      <c r="D219" s="71"/>
      <c r="E219" s="24">
        <v>218</v>
      </c>
      <c r="F219" s="24"/>
      <c r="G219" s="24"/>
      <c r="H219" s="24"/>
      <c r="I219" s="24"/>
      <c r="J219" s="24"/>
      <c r="K219" s="24"/>
      <c r="L219" s="24"/>
      <c r="M219" s="24"/>
      <c r="N219" s="24"/>
      <c r="O219" s="24">
        <v>218</v>
      </c>
      <c r="P219" s="24"/>
      <c r="Q219" s="24">
        <v>218</v>
      </c>
      <c r="R219" s="24"/>
      <c r="S219" s="24"/>
      <c r="T219" s="22"/>
      <c r="U219" s="22"/>
    </row>
    <row r="220" spans="1:21" ht="22.5" hidden="1">
      <c r="A220" s="243"/>
      <c r="B220" s="69" t="s">
        <v>441</v>
      </c>
      <c r="C220" s="70">
        <v>7371088</v>
      </c>
      <c r="D220" s="71"/>
      <c r="E220" s="24">
        <v>179</v>
      </c>
      <c r="F220" s="24"/>
      <c r="G220" s="24"/>
      <c r="H220" s="24"/>
      <c r="I220" s="24"/>
      <c r="J220" s="24"/>
      <c r="K220" s="24"/>
      <c r="L220" s="24"/>
      <c r="M220" s="24"/>
      <c r="N220" s="24"/>
      <c r="O220" s="24">
        <v>179</v>
      </c>
      <c r="P220" s="24"/>
      <c r="Q220" s="24">
        <v>179</v>
      </c>
      <c r="R220" s="24"/>
      <c r="S220" s="24"/>
      <c r="T220" s="22"/>
      <c r="U220" s="22"/>
    </row>
    <row r="221" spans="1:21" ht="33.75" hidden="1">
      <c r="A221" s="243"/>
      <c r="B221" s="69" t="s">
        <v>442</v>
      </c>
      <c r="C221" s="70">
        <v>7619778</v>
      </c>
      <c r="D221" s="71"/>
      <c r="E221" s="24">
        <v>4983.7370000000001</v>
      </c>
      <c r="F221" s="24"/>
      <c r="G221" s="24"/>
      <c r="H221" s="24"/>
      <c r="I221" s="24"/>
      <c r="J221" s="24"/>
      <c r="K221" s="24"/>
      <c r="L221" s="24"/>
      <c r="M221" s="24"/>
      <c r="N221" s="24"/>
      <c r="O221" s="24">
        <v>4983.7370000000001</v>
      </c>
      <c r="P221" s="24"/>
      <c r="Q221" s="24">
        <v>4983.7370000000001</v>
      </c>
      <c r="R221" s="24"/>
      <c r="S221" s="24"/>
      <c r="T221" s="22"/>
      <c r="U221" s="22"/>
    </row>
    <row r="222" spans="1:21" ht="33.75" hidden="1">
      <c r="A222" s="243"/>
      <c r="B222" s="69" t="s">
        <v>443</v>
      </c>
      <c r="C222" s="70">
        <v>7657005</v>
      </c>
      <c r="D222" s="71"/>
      <c r="E222" s="24">
        <v>406.601</v>
      </c>
      <c r="F222" s="24"/>
      <c r="G222" s="24"/>
      <c r="H222" s="24"/>
      <c r="I222" s="24"/>
      <c r="J222" s="24"/>
      <c r="K222" s="24"/>
      <c r="L222" s="24"/>
      <c r="M222" s="24"/>
      <c r="N222" s="24"/>
      <c r="O222" s="24">
        <v>406.601</v>
      </c>
      <c r="P222" s="24"/>
      <c r="Q222" s="24">
        <v>406.601</v>
      </c>
      <c r="R222" s="24"/>
      <c r="S222" s="24"/>
      <c r="T222" s="22"/>
      <c r="U222" s="22"/>
    </row>
    <row r="223" spans="1:21" ht="22.5" hidden="1">
      <c r="A223" s="243"/>
      <c r="B223" s="78" t="s">
        <v>444</v>
      </c>
      <c r="C223" s="109" t="s">
        <v>445</v>
      </c>
      <c r="D223" s="71"/>
      <c r="E223" s="24">
        <v>174.69399999999999</v>
      </c>
      <c r="F223" s="24"/>
      <c r="G223" s="24"/>
      <c r="H223" s="24"/>
      <c r="I223" s="24"/>
      <c r="J223" s="24"/>
      <c r="K223" s="24"/>
      <c r="L223" s="24"/>
      <c r="M223" s="24"/>
      <c r="N223" s="24"/>
      <c r="O223" s="24">
        <v>174.69399999999999</v>
      </c>
      <c r="P223" s="24"/>
      <c r="Q223" s="24">
        <v>174.69399999999999</v>
      </c>
      <c r="R223" s="24"/>
      <c r="S223" s="24"/>
      <c r="T223" s="22"/>
      <c r="U223" s="22"/>
    </row>
    <row r="224" spans="1:21" ht="22.5" hidden="1">
      <c r="A224" s="243"/>
      <c r="B224" s="33" t="s">
        <v>446</v>
      </c>
      <c r="C224" s="51" t="s">
        <v>447</v>
      </c>
      <c r="D224" s="71"/>
      <c r="E224" s="24">
        <v>350.60599999999999</v>
      </c>
      <c r="F224" s="24"/>
      <c r="G224" s="24"/>
      <c r="H224" s="24"/>
      <c r="I224" s="24"/>
      <c r="J224" s="24"/>
      <c r="K224" s="24"/>
      <c r="L224" s="24"/>
      <c r="M224" s="24"/>
      <c r="N224" s="24"/>
      <c r="O224" s="24">
        <v>350.60599999999999</v>
      </c>
      <c r="P224" s="24"/>
      <c r="Q224" s="24">
        <v>350.60599999999999</v>
      </c>
      <c r="R224" s="24"/>
      <c r="S224" s="24"/>
      <c r="T224" s="22"/>
      <c r="U224" s="22"/>
    </row>
    <row r="225" spans="1:21" ht="22.5" hidden="1">
      <c r="A225" s="243"/>
      <c r="B225" s="33" t="s">
        <v>448</v>
      </c>
      <c r="C225" s="51" t="s">
        <v>449</v>
      </c>
      <c r="D225" s="71"/>
      <c r="E225" s="24">
        <v>534.34632799999997</v>
      </c>
      <c r="F225" s="24"/>
      <c r="G225" s="24"/>
      <c r="H225" s="24"/>
      <c r="I225" s="24"/>
      <c r="J225" s="24"/>
      <c r="K225" s="24"/>
      <c r="L225" s="24"/>
      <c r="M225" s="24"/>
      <c r="N225" s="24"/>
      <c r="O225" s="24">
        <v>534.34632799999997</v>
      </c>
      <c r="P225" s="24"/>
      <c r="Q225" s="24">
        <v>534.34632799999997</v>
      </c>
      <c r="R225" s="24"/>
      <c r="S225" s="24"/>
      <c r="T225" s="22"/>
      <c r="U225" s="22"/>
    </row>
    <row r="226" spans="1:21" s="41" customFormat="1">
      <c r="A226" s="99"/>
      <c r="B226" s="110" t="s">
        <v>287</v>
      </c>
      <c r="C226" s="111"/>
      <c r="D226" s="112">
        <v>0</v>
      </c>
      <c r="E226" s="491">
        <v>5636.125</v>
      </c>
      <c r="F226" s="491">
        <v>0</v>
      </c>
      <c r="G226" s="491">
        <v>0</v>
      </c>
      <c r="H226" s="491">
        <v>0</v>
      </c>
      <c r="I226" s="491">
        <v>0</v>
      </c>
      <c r="J226" s="491">
        <v>0</v>
      </c>
      <c r="K226" s="491">
        <v>0</v>
      </c>
      <c r="L226" s="491">
        <v>0</v>
      </c>
      <c r="M226" s="491">
        <v>0</v>
      </c>
      <c r="N226" s="491">
        <v>0</v>
      </c>
      <c r="O226" s="491">
        <v>5636.125</v>
      </c>
      <c r="P226" s="491">
        <v>0</v>
      </c>
      <c r="Q226" s="491">
        <v>0</v>
      </c>
      <c r="R226" s="491">
        <v>0</v>
      </c>
      <c r="S226" s="491">
        <v>0</v>
      </c>
      <c r="T226" s="113">
        <v>0</v>
      </c>
      <c r="U226" s="94"/>
    </row>
    <row r="227" spans="1:21" ht="33.75" hidden="1">
      <c r="A227" s="243"/>
      <c r="B227" s="33" t="s">
        <v>450</v>
      </c>
      <c r="C227" s="34">
        <v>7363234</v>
      </c>
      <c r="D227" s="71"/>
      <c r="E227" s="24">
        <v>5636.125</v>
      </c>
      <c r="F227" s="24"/>
      <c r="G227" s="24"/>
      <c r="H227" s="24"/>
      <c r="I227" s="24"/>
      <c r="J227" s="24"/>
      <c r="K227" s="24"/>
      <c r="L227" s="24"/>
      <c r="M227" s="24"/>
      <c r="N227" s="24"/>
      <c r="O227" s="24">
        <v>5636.125</v>
      </c>
      <c r="P227" s="24"/>
      <c r="Q227" s="24"/>
      <c r="R227" s="24"/>
      <c r="S227" s="24"/>
      <c r="T227" s="22"/>
      <c r="U227" s="22"/>
    </row>
    <row r="228" spans="1:21" ht="19.5" customHeight="1">
      <c r="A228" s="243">
        <v>21</v>
      </c>
      <c r="B228" s="18" t="s">
        <v>451</v>
      </c>
      <c r="C228" s="18"/>
      <c r="D228" s="19">
        <v>0</v>
      </c>
      <c r="E228" s="124">
        <v>5100</v>
      </c>
      <c r="F228" s="124">
        <v>0</v>
      </c>
      <c r="G228" s="124">
        <v>0</v>
      </c>
      <c r="H228" s="124">
        <v>0</v>
      </c>
      <c r="I228" s="124">
        <v>0</v>
      </c>
      <c r="J228" s="124">
        <v>0</v>
      </c>
      <c r="K228" s="124">
        <v>0</v>
      </c>
      <c r="L228" s="124">
        <v>0</v>
      </c>
      <c r="M228" s="124">
        <v>0</v>
      </c>
      <c r="N228" s="124">
        <v>0</v>
      </c>
      <c r="O228" s="124">
        <v>0</v>
      </c>
      <c r="P228" s="124">
        <v>0</v>
      </c>
      <c r="Q228" s="124">
        <v>0</v>
      </c>
      <c r="R228" s="124">
        <v>5100</v>
      </c>
      <c r="S228" s="124">
        <v>0</v>
      </c>
      <c r="T228" s="19">
        <v>0</v>
      </c>
      <c r="U228" s="241"/>
    </row>
    <row r="229" spans="1:21" s="41" customFormat="1" hidden="1">
      <c r="A229" s="37"/>
      <c r="B229" s="38" t="s">
        <v>283</v>
      </c>
      <c r="C229" s="38"/>
      <c r="D229" s="39">
        <v>0</v>
      </c>
      <c r="E229" s="61">
        <v>5100</v>
      </c>
      <c r="F229" s="61">
        <v>0</v>
      </c>
      <c r="G229" s="61">
        <v>0</v>
      </c>
      <c r="H229" s="61">
        <v>0</v>
      </c>
      <c r="I229" s="61">
        <v>0</v>
      </c>
      <c r="J229" s="61">
        <v>0</v>
      </c>
      <c r="K229" s="61">
        <v>0</v>
      </c>
      <c r="L229" s="61">
        <v>0</v>
      </c>
      <c r="M229" s="61">
        <v>0</v>
      </c>
      <c r="N229" s="61">
        <v>0</v>
      </c>
      <c r="O229" s="61">
        <v>0</v>
      </c>
      <c r="P229" s="61">
        <v>0</v>
      </c>
      <c r="Q229" s="61">
        <v>0</v>
      </c>
      <c r="R229" s="61">
        <v>5100</v>
      </c>
      <c r="S229" s="61">
        <v>0</v>
      </c>
      <c r="T229" s="39">
        <v>0</v>
      </c>
      <c r="U229" s="93"/>
    </row>
    <row r="230" spans="1:21" ht="56.25" hidden="1">
      <c r="A230" s="243"/>
      <c r="B230" s="33" t="s">
        <v>452</v>
      </c>
      <c r="C230" s="34">
        <v>7463105</v>
      </c>
      <c r="D230" s="22"/>
      <c r="E230" s="24">
        <v>5100</v>
      </c>
      <c r="F230" s="24"/>
      <c r="G230" s="24"/>
      <c r="H230" s="24"/>
      <c r="I230" s="24"/>
      <c r="J230" s="24"/>
      <c r="K230" s="24"/>
      <c r="L230" s="24"/>
      <c r="M230" s="24"/>
      <c r="N230" s="24"/>
      <c r="O230" s="24"/>
      <c r="P230" s="24"/>
      <c r="Q230" s="24"/>
      <c r="R230" s="24">
        <v>5100</v>
      </c>
      <c r="S230" s="24"/>
      <c r="T230" s="22"/>
      <c r="U230" s="22"/>
    </row>
    <row r="231" spans="1:21" ht="19.5" customHeight="1">
      <c r="A231" s="243">
        <v>22</v>
      </c>
      <c r="B231" s="18" t="s">
        <v>453</v>
      </c>
      <c r="C231" s="18"/>
      <c r="D231" s="19">
        <v>100</v>
      </c>
      <c r="E231" s="124">
        <v>7588.4739120000004</v>
      </c>
      <c r="F231" s="124">
        <v>3754.3</v>
      </c>
      <c r="G231" s="124">
        <v>0</v>
      </c>
      <c r="H231" s="124">
        <v>0</v>
      </c>
      <c r="I231" s="124">
        <v>0</v>
      </c>
      <c r="J231" s="124">
        <v>0</v>
      </c>
      <c r="K231" s="124">
        <v>0</v>
      </c>
      <c r="L231" s="124">
        <v>0</v>
      </c>
      <c r="M231" s="124">
        <v>0</v>
      </c>
      <c r="N231" s="124">
        <v>0</v>
      </c>
      <c r="O231" s="124">
        <v>3734.1739120000002</v>
      </c>
      <c r="P231" s="124">
        <v>0</v>
      </c>
      <c r="Q231" s="124">
        <v>0</v>
      </c>
      <c r="R231" s="124">
        <v>100</v>
      </c>
      <c r="S231" s="124">
        <v>0</v>
      </c>
      <c r="T231" s="19">
        <v>0</v>
      </c>
      <c r="U231" s="241"/>
    </row>
    <row r="232" spans="1:21" s="41" customFormat="1" hidden="1">
      <c r="A232" s="37"/>
      <c r="B232" s="38" t="s">
        <v>294</v>
      </c>
      <c r="C232" s="38"/>
      <c r="D232" s="39">
        <v>100</v>
      </c>
      <c r="E232" s="61">
        <v>7588.4739120000004</v>
      </c>
      <c r="F232" s="61">
        <v>3754.3</v>
      </c>
      <c r="G232" s="61">
        <v>0</v>
      </c>
      <c r="H232" s="61">
        <v>0</v>
      </c>
      <c r="I232" s="61">
        <v>0</v>
      </c>
      <c r="J232" s="61">
        <v>0</v>
      </c>
      <c r="K232" s="61">
        <v>0</v>
      </c>
      <c r="L232" s="61">
        <v>0</v>
      </c>
      <c r="M232" s="61">
        <v>0</v>
      </c>
      <c r="N232" s="61">
        <v>0</v>
      </c>
      <c r="O232" s="61">
        <v>3734.1739120000002</v>
      </c>
      <c r="P232" s="61">
        <v>0</v>
      </c>
      <c r="Q232" s="61">
        <v>0</v>
      </c>
      <c r="R232" s="61">
        <v>100</v>
      </c>
      <c r="S232" s="61">
        <v>0</v>
      </c>
      <c r="T232" s="39">
        <v>0</v>
      </c>
      <c r="U232" s="39"/>
    </row>
    <row r="233" spans="1:21" ht="33.75" hidden="1">
      <c r="A233" s="243"/>
      <c r="B233" s="69" t="s">
        <v>454</v>
      </c>
      <c r="C233" s="70">
        <v>7623874</v>
      </c>
      <c r="D233" s="22">
        <v>20</v>
      </c>
      <c r="E233" s="24">
        <v>20</v>
      </c>
      <c r="F233" s="24"/>
      <c r="G233" s="24"/>
      <c r="H233" s="24"/>
      <c r="I233" s="24"/>
      <c r="J233" s="24"/>
      <c r="K233" s="24"/>
      <c r="L233" s="24"/>
      <c r="M233" s="24"/>
      <c r="N233" s="24"/>
      <c r="O233" s="24"/>
      <c r="P233" s="24"/>
      <c r="Q233" s="24"/>
      <c r="R233" s="24">
        <v>20</v>
      </c>
      <c r="S233" s="24"/>
      <c r="T233" s="22"/>
      <c r="U233" s="22"/>
    </row>
    <row r="234" spans="1:21" ht="33.75" hidden="1">
      <c r="A234" s="243"/>
      <c r="B234" s="69" t="s">
        <v>455</v>
      </c>
      <c r="C234" s="70">
        <v>7623875</v>
      </c>
      <c r="D234" s="22">
        <v>20</v>
      </c>
      <c r="E234" s="24">
        <v>20</v>
      </c>
      <c r="F234" s="24"/>
      <c r="G234" s="24"/>
      <c r="H234" s="24"/>
      <c r="I234" s="24"/>
      <c r="J234" s="24"/>
      <c r="K234" s="24"/>
      <c r="L234" s="24"/>
      <c r="M234" s="24"/>
      <c r="N234" s="24"/>
      <c r="O234" s="24"/>
      <c r="P234" s="24"/>
      <c r="Q234" s="24"/>
      <c r="R234" s="24">
        <v>20</v>
      </c>
      <c r="S234" s="24"/>
      <c r="T234" s="22"/>
      <c r="U234" s="22"/>
    </row>
    <row r="235" spans="1:21" ht="22.5" hidden="1">
      <c r="A235" s="243"/>
      <c r="B235" s="69" t="s">
        <v>456</v>
      </c>
      <c r="C235" s="70">
        <v>7623876</v>
      </c>
      <c r="D235" s="22">
        <v>20</v>
      </c>
      <c r="E235" s="24">
        <v>20</v>
      </c>
      <c r="F235" s="24"/>
      <c r="G235" s="24"/>
      <c r="H235" s="24"/>
      <c r="I235" s="24"/>
      <c r="J235" s="24"/>
      <c r="K235" s="24"/>
      <c r="L235" s="24"/>
      <c r="M235" s="24"/>
      <c r="N235" s="24"/>
      <c r="O235" s="24"/>
      <c r="P235" s="24"/>
      <c r="Q235" s="24"/>
      <c r="R235" s="24">
        <v>20</v>
      </c>
      <c r="S235" s="24"/>
      <c r="T235" s="22"/>
      <c r="U235" s="22"/>
    </row>
    <row r="236" spans="1:21" ht="33.75" hidden="1">
      <c r="A236" s="243"/>
      <c r="B236" s="69" t="s">
        <v>457</v>
      </c>
      <c r="C236" s="70">
        <v>7623877</v>
      </c>
      <c r="D236" s="22">
        <v>20</v>
      </c>
      <c r="E236" s="24">
        <v>20</v>
      </c>
      <c r="F236" s="24"/>
      <c r="G236" s="24"/>
      <c r="H236" s="24"/>
      <c r="I236" s="24"/>
      <c r="J236" s="24"/>
      <c r="K236" s="24"/>
      <c r="L236" s="24"/>
      <c r="M236" s="24"/>
      <c r="N236" s="24"/>
      <c r="O236" s="24"/>
      <c r="P236" s="24"/>
      <c r="Q236" s="24"/>
      <c r="R236" s="24">
        <v>20</v>
      </c>
      <c r="S236" s="24"/>
      <c r="T236" s="22"/>
      <c r="U236" s="22"/>
    </row>
    <row r="237" spans="1:21" ht="22.5" hidden="1">
      <c r="A237" s="243"/>
      <c r="B237" s="69" t="s">
        <v>458</v>
      </c>
      <c r="C237" s="70">
        <v>7623878</v>
      </c>
      <c r="D237" s="22">
        <v>20</v>
      </c>
      <c r="E237" s="24">
        <v>20</v>
      </c>
      <c r="F237" s="24"/>
      <c r="G237" s="24"/>
      <c r="H237" s="24"/>
      <c r="I237" s="24"/>
      <c r="J237" s="24"/>
      <c r="K237" s="24"/>
      <c r="L237" s="24"/>
      <c r="M237" s="24"/>
      <c r="N237" s="24"/>
      <c r="O237" s="24"/>
      <c r="P237" s="24"/>
      <c r="Q237" s="24"/>
      <c r="R237" s="24">
        <v>20</v>
      </c>
      <c r="S237" s="24"/>
      <c r="T237" s="22"/>
      <c r="U237" s="22"/>
    </row>
    <row r="238" spans="1:21" ht="22.5" hidden="1">
      <c r="A238" s="243"/>
      <c r="B238" s="69" t="s">
        <v>459</v>
      </c>
      <c r="C238" s="70">
        <v>7592769</v>
      </c>
      <c r="D238" s="22"/>
      <c r="E238" s="24">
        <v>3754.3</v>
      </c>
      <c r="F238" s="24">
        <v>3754.3</v>
      </c>
      <c r="G238" s="24"/>
      <c r="H238" s="24"/>
      <c r="I238" s="24"/>
      <c r="J238" s="24"/>
      <c r="K238" s="24"/>
      <c r="L238" s="24"/>
      <c r="M238" s="24"/>
      <c r="N238" s="24"/>
      <c r="O238" s="24"/>
      <c r="P238" s="24"/>
      <c r="Q238" s="24"/>
      <c r="R238" s="24"/>
      <c r="S238" s="24"/>
      <c r="T238" s="22"/>
      <c r="U238" s="22"/>
    </row>
    <row r="239" spans="1:21" ht="22.5" hidden="1">
      <c r="A239" s="243"/>
      <c r="B239" s="69" t="s">
        <v>460</v>
      </c>
      <c r="C239" s="70">
        <v>7592770</v>
      </c>
      <c r="D239" s="22"/>
      <c r="E239" s="24">
        <v>3734.1739120000002</v>
      </c>
      <c r="F239" s="24"/>
      <c r="G239" s="24"/>
      <c r="H239" s="24"/>
      <c r="I239" s="24"/>
      <c r="J239" s="24"/>
      <c r="K239" s="24"/>
      <c r="L239" s="24"/>
      <c r="M239" s="24"/>
      <c r="N239" s="24"/>
      <c r="O239" s="24">
        <v>3734.1739120000002</v>
      </c>
      <c r="P239" s="24"/>
      <c r="Q239" s="24"/>
      <c r="R239" s="24"/>
      <c r="S239" s="24"/>
      <c r="T239" s="22"/>
      <c r="U239" s="22"/>
    </row>
    <row r="240" spans="1:21" ht="18.75" customHeight="1">
      <c r="A240" s="243">
        <v>23</v>
      </c>
      <c r="B240" s="18" t="s">
        <v>461</v>
      </c>
      <c r="C240" s="18"/>
      <c r="D240" s="19">
        <v>668004.87899999996</v>
      </c>
      <c r="E240" s="124">
        <v>568714.07594399992</v>
      </c>
      <c r="F240" s="124">
        <v>0</v>
      </c>
      <c r="G240" s="124">
        <v>0</v>
      </c>
      <c r="H240" s="124">
        <v>0</v>
      </c>
      <c r="I240" s="124">
        <v>0</v>
      </c>
      <c r="J240" s="124">
        <v>0</v>
      </c>
      <c r="K240" s="124">
        <v>0</v>
      </c>
      <c r="L240" s="124">
        <v>0</v>
      </c>
      <c r="M240" s="124">
        <v>0</v>
      </c>
      <c r="N240" s="124">
        <v>250</v>
      </c>
      <c r="O240" s="124">
        <v>506166.46794399997</v>
      </c>
      <c r="P240" s="124">
        <v>0</v>
      </c>
      <c r="Q240" s="124">
        <v>0</v>
      </c>
      <c r="R240" s="124">
        <v>62297.608</v>
      </c>
      <c r="S240" s="124">
        <v>0</v>
      </c>
      <c r="T240" s="19">
        <v>0</v>
      </c>
      <c r="U240" s="22"/>
    </row>
    <row r="241" spans="1:21" s="41" customFormat="1" ht="12" customHeight="1">
      <c r="A241" s="91" t="s">
        <v>16</v>
      </c>
      <c r="B241" s="92" t="s">
        <v>183</v>
      </c>
      <c r="C241" s="92"/>
      <c r="D241" s="93">
        <v>114954.879</v>
      </c>
      <c r="E241" s="489">
        <v>120520.86199999999</v>
      </c>
      <c r="F241" s="489">
        <v>0</v>
      </c>
      <c r="G241" s="489">
        <v>0</v>
      </c>
      <c r="H241" s="489">
        <v>0</v>
      </c>
      <c r="I241" s="489">
        <v>0</v>
      </c>
      <c r="J241" s="489">
        <v>0</v>
      </c>
      <c r="K241" s="489">
        <v>0</v>
      </c>
      <c r="L241" s="489">
        <v>0</v>
      </c>
      <c r="M241" s="489">
        <v>0</v>
      </c>
      <c r="N241" s="489">
        <v>250</v>
      </c>
      <c r="O241" s="489">
        <v>59975.25</v>
      </c>
      <c r="P241" s="489">
        <v>0</v>
      </c>
      <c r="Q241" s="489">
        <v>0</v>
      </c>
      <c r="R241" s="489">
        <v>60295.612000000001</v>
      </c>
      <c r="S241" s="489">
        <v>0</v>
      </c>
      <c r="T241" s="93">
        <v>0</v>
      </c>
      <c r="U241" s="93"/>
    </row>
    <row r="242" spans="1:21" s="46" customFormat="1" hidden="1">
      <c r="A242" s="37"/>
      <c r="B242" s="38" t="s">
        <v>294</v>
      </c>
      <c r="C242" s="38"/>
      <c r="D242" s="39">
        <v>28801.879000000001</v>
      </c>
      <c r="E242" s="61">
        <v>31651.903999999999</v>
      </c>
      <c r="F242" s="61">
        <v>0</v>
      </c>
      <c r="G242" s="61">
        <v>0</v>
      </c>
      <c r="H242" s="61">
        <v>0</v>
      </c>
      <c r="I242" s="61">
        <v>0</v>
      </c>
      <c r="J242" s="61">
        <v>0</v>
      </c>
      <c r="K242" s="61">
        <v>0</v>
      </c>
      <c r="L242" s="61">
        <v>0</v>
      </c>
      <c r="M242" s="61">
        <v>0</v>
      </c>
      <c r="N242" s="61">
        <v>250</v>
      </c>
      <c r="O242" s="61">
        <v>27283.288</v>
      </c>
      <c r="P242" s="61">
        <v>0</v>
      </c>
      <c r="Q242" s="61">
        <v>0</v>
      </c>
      <c r="R242" s="61">
        <v>4118.616</v>
      </c>
      <c r="S242" s="61">
        <v>0</v>
      </c>
      <c r="T242" s="39">
        <v>0</v>
      </c>
      <c r="U242" s="39"/>
    </row>
    <row r="243" spans="1:21" ht="22.5" hidden="1">
      <c r="A243" s="20"/>
      <c r="B243" s="21" t="s">
        <v>462</v>
      </c>
      <c r="C243" s="21">
        <v>7633530</v>
      </c>
      <c r="D243" s="22">
        <v>150</v>
      </c>
      <c r="E243" s="24">
        <v>150</v>
      </c>
      <c r="F243" s="24"/>
      <c r="G243" s="24"/>
      <c r="H243" s="24"/>
      <c r="I243" s="24"/>
      <c r="J243" s="24"/>
      <c r="K243" s="24"/>
      <c r="L243" s="24"/>
      <c r="M243" s="24"/>
      <c r="N243" s="24"/>
      <c r="O243" s="24"/>
      <c r="P243" s="24"/>
      <c r="Q243" s="24"/>
      <c r="R243" s="24">
        <v>150</v>
      </c>
      <c r="S243" s="24"/>
      <c r="T243" s="22"/>
      <c r="U243" s="22"/>
    </row>
    <row r="244" spans="1:21" ht="78.75" hidden="1">
      <c r="A244" s="20"/>
      <c r="B244" s="21" t="s">
        <v>463</v>
      </c>
      <c r="C244" s="21">
        <v>7633532</v>
      </c>
      <c r="D244" s="22">
        <v>50</v>
      </c>
      <c r="E244" s="24">
        <v>50</v>
      </c>
      <c r="F244" s="24"/>
      <c r="G244" s="24"/>
      <c r="H244" s="24"/>
      <c r="I244" s="24"/>
      <c r="J244" s="24"/>
      <c r="K244" s="24"/>
      <c r="L244" s="24"/>
      <c r="M244" s="24"/>
      <c r="N244" s="24"/>
      <c r="O244" s="24"/>
      <c r="P244" s="24"/>
      <c r="Q244" s="24"/>
      <c r="R244" s="24">
        <v>50</v>
      </c>
      <c r="S244" s="24"/>
      <c r="T244" s="22"/>
      <c r="U244" s="22"/>
    </row>
    <row r="245" spans="1:21" ht="56.25" hidden="1">
      <c r="A245" s="20"/>
      <c r="B245" s="21" t="s">
        <v>464</v>
      </c>
      <c r="C245" s="34">
        <v>7633531</v>
      </c>
      <c r="D245" s="22">
        <v>250</v>
      </c>
      <c r="E245" s="24">
        <v>250</v>
      </c>
      <c r="F245" s="24"/>
      <c r="G245" s="24"/>
      <c r="H245" s="24"/>
      <c r="I245" s="24"/>
      <c r="J245" s="24"/>
      <c r="K245" s="24"/>
      <c r="L245" s="24"/>
      <c r="M245" s="24"/>
      <c r="N245" s="24">
        <v>250</v>
      </c>
      <c r="O245" s="24"/>
      <c r="P245" s="24"/>
      <c r="Q245" s="24"/>
      <c r="R245" s="24"/>
      <c r="S245" s="24"/>
      <c r="T245" s="22"/>
      <c r="U245" s="22"/>
    </row>
    <row r="246" spans="1:21" ht="33.75" hidden="1">
      <c r="A246" s="20"/>
      <c r="B246" s="33" t="s">
        <v>465</v>
      </c>
      <c r="C246" s="34">
        <v>7664429</v>
      </c>
      <c r="D246" s="22">
        <v>6400</v>
      </c>
      <c r="E246" s="482">
        <v>5400.0780000000004</v>
      </c>
      <c r="F246" s="24"/>
      <c r="G246" s="24"/>
      <c r="H246" s="24"/>
      <c r="I246" s="24"/>
      <c r="J246" s="24"/>
      <c r="K246" s="24"/>
      <c r="L246" s="24"/>
      <c r="M246" s="24"/>
      <c r="N246" s="24"/>
      <c r="O246" s="24">
        <v>5400.0780000000004</v>
      </c>
      <c r="P246" s="24"/>
      <c r="Q246" s="24"/>
      <c r="R246" s="24"/>
      <c r="S246" s="24"/>
      <c r="T246" s="22"/>
      <c r="U246" s="22"/>
    </row>
    <row r="247" spans="1:21" ht="45" hidden="1">
      <c r="A247" s="20"/>
      <c r="B247" s="114" t="s">
        <v>466</v>
      </c>
      <c r="C247" s="108" t="s">
        <v>467</v>
      </c>
      <c r="D247" s="86">
        <v>18865.723000000002</v>
      </c>
      <c r="E247" s="492">
        <v>20318.3</v>
      </c>
      <c r="F247" s="24"/>
      <c r="G247" s="24"/>
      <c r="H247" s="24"/>
      <c r="I247" s="24"/>
      <c r="J247" s="24"/>
      <c r="K247" s="24"/>
      <c r="L247" s="24"/>
      <c r="M247" s="24"/>
      <c r="N247" s="24"/>
      <c r="O247" s="24">
        <v>20318.3</v>
      </c>
      <c r="P247" s="24"/>
      <c r="Q247" s="24"/>
      <c r="R247" s="24"/>
      <c r="S247" s="24"/>
      <c r="T247" s="22"/>
      <c r="U247" s="22"/>
    </row>
    <row r="248" spans="1:21" ht="45" hidden="1">
      <c r="A248" s="20"/>
      <c r="B248" s="102" t="s">
        <v>468</v>
      </c>
      <c r="C248" s="105" t="s">
        <v>469</v>
      </c>
      <c r="D248" s="71">
        <v>3000</v>
      </c>
      <c r="E248" s="493">
        <v>0</v>
      </c>
      <c r="F248" s="24"/>
      <c r="G248" s="24"/>
      <c r="H248" s="24"/>
      <c r="I248" s="24"/>
      <c r="J248" s="24"/>
      <c r="K248" s="24"/>
      <c r="L248" s="24"/>
      <c r="M248" s="24"/>
      <c r="N248" s="24"/>
      <c r="O248" s="24"/>
      <c r="P248" s="24"/>
      <c r="Q248" s="24"/>
      <c r="R248" s="24"/>
      <c r="S248" s="24"/>
      <c r="T248" s="22"/>
      <c r="U248" s="22"/>
    </row>
    <row r="249" spans="1:21" ht="22.5" hidden="1">
      <c r="A249" s="20"/>
      <c r="B249" s="96" t="s">
        <v>470</v>
      </c>
      <c r="C249" s="34">
        <v>7252845</v>
      </c>
      <c r="D249" s="44">
        <v>86.156000000000006</v>
      </c>
      <c r="E249" s="482">
        <v>86.156000000000006</v>
      </c>
      <c r="F249" s="24"/>
      <c r="G249" s="24"/>
      <c r="H249" s="24"/>
      <c r="I249" s="24"/>
      <c r="J249" s="24"/>
      <c r="K249" s="24"/>
      <c r="L249" s="24"/>
      <c r="M249" s="24"/>
      <c r="N249" s="24"/>
      <c r="O249" s="24"/>
      <c r="P249" s="24"/>
      <c r="Q249" s="24"/>
      <c r="R249" s="482">
        <v>86.156000000000006</v>
      </c>
      <c r="S249" s="24"/>
      <c r="T249" s="22"/>
      <c r="U249" s="22"/>
    </row>
    <row r="250" spans="1:21" ht="33.75" hidden="1">
      <c r="A250" s="20"/>
      <c r="B250" s="33" t="s">
        <v>471</v>
      </c>
      <c r="C250" s="51" t="s">
        <v>472</v>
      </c>
      <c r="D250" s="71"/>
      <c r="E250" s="493">
        <v>1564.91</v>
      </c>
      <c r="F250" s="24"/>
      <c r="G250" s="24"/>
      <c r="H250" s="24"/>
      <c r="I250" s="24"/>
      <c r="J250" s="24"/>
      <c r="K250" s="24"/>
      <c r="L250" s="24"/>
      <c r="M250" s="24"/>
      <c r="N250" s="24"/>
      <c r="O250" s="493">
        <v>1564.91</v>
      </c>
      <c r="P250" s="24"/>
      <c r="Q250" s="24"/>
      <c r="R250" s="24"/>
      <c r="S250" s="24"/>
      <c r="T250" s="22"/>
      <c r="U250" s="22"/>
    </row>
    <row r="251" spans="1:21" ht="22.5" hidden="1">
      <c r="A251" s="20"/>
      <c r="B251" s="33" t="s">
        <v>473</v>
      </c>
      <c r="C251" s="34">
        <v>7486027</v>
      </c>
      <c r="D251" s="71"/>
      <c r="E251" s="493">
        <v>3832.46</v>
      </c>
      <c r="F251" s="24"/>
      <c r="G251" s="24"/>
      <c r="H251" s="24"/>
      <c r="I251" s="24"/>
      <c r="J251" s="24"/>
      <c r="K251" s="24"/>
      <c r="L251" s="24"/>
      <c r="M251" s="24"/>
      <c r="N251" s="24"/>
      <c r="O251" s="24"/>
      <c r="P251" s="24"/>
      <c r="Q251" s="24"/>
      <c r="R251" s="493">
        <v>3832.46</v>
      </c>
      <c r="S251" s="24"/>
      <c r="T251" s="22"/>
      <c r="U251" s="22"/>
    </row>
    <row r="252" spans="1:21" s="46" customFormat="1" hidden="1">
      <c r="A252" s="37"/>
      <c r="B252" s="115" t="s">
        <v>282</v>
      </c>
      <c r="C252" s="116"/>
      <c r="D252" s="30">
        <v>0</v>
      </c>
      <c r="E252" s="480">
        <v>26374.401000000002</v>
      </c>
      <c r="F252" s="480">
        <v>0</v>
      </c>
      <c r="G252" s="480">
        <v>0</v>
      </c>
      <c r="H252" s="480">
        <v>0</v>
      </c>
      <c r="I252" s="480">
        <v>0</v>
      </c>
      <c r="J252" s="480">
        <v>0</v>
      </c>
      <c r="K252" s="480">
        <v>0</v>
      </c>
      <c r="L252" s="480">
        <v>0</v>
      </c>
      <c r="M252" s="480">
        <v>0</v>
      </c>
      <c r="N252" s="480">
        <v>0</v>
      </c>
      <c r="O252" s="480">
        <v>0</v>
      </c>
      <c r="P252" s="480">
        <v>0</v>
      </c>
      <c r="Q252" s="480">
        <v>0</v>
      </c>
      <c r="R252" s="480">
        <v>26374.401000000002</v>
      </c>
      <c r="S252" s="480">
        <v>0</v>
      </c>
      <c r="T252" s="30">
        <v>0</v>
      </c>
      <c r="U252" s="39"/>
    </row>
    <row r="253" spans="1:21" hidden="1">
      <c r="A253" s="20"/>
      <c r="B253" s="33" t="s">
        <v>474</v>
      </c>
      <c r="C253" s="34">
        <v>7486027</v>
      </c>
      <c r="D253" s="71"/>
      <c r="E253" s="493">
        <v>26374.401000000002</v>
      </c>
      <c r="F253" s="24"/>
      <c r="G253" s="24"/>
      <c r="H253" s="24"/>
      <c r="I253" s="24"/>
      <c r="J253" s="24"/>
      <c r="K253" s="24"/>
      <c r="L253" s="24"/>
      <c r="M253" s="24"/>
      <c r="N253" s="24"/>
      <c r="O253" s="24"/>
      <c r="P253" s="24"/>
      <c r="Q253" s="24"/>
      <c r="R253" s="493">
        <v>26374.401000000002</v>
      </c>
      <c r="S253" s="24"/>
      <c r="T253" s="22"/>
      <c r="U253" s="22"/>
    </row>
    <row r="254" spans="1:21" s="46" customFormat="1" hidden="1">
      <c r="A254" s="37"/>
      <c r="B254" s="115" t="s">
        <v>283</v>
      </c>
      <c r="C254" s="116"/>
      <c r="D254" s="30">
        <v>86153</v>
      </c>
      <c r="E254" s="480">
        <v>62494.557000000001</v>
      </c>
      <c r="F254" s="480">
        <v>0</v>
      </c>
      <c r="G254" s="480">
        <v>0</v>
      </c>
      <c r="H254" s="480">
        <v>0</v>
      </c>
      <c r="I254" s="480">
        <v>0</v>
      </c>
      <c r="J254" s="480">
        <v>0</v>
      </c>
      <c r="K254" s="480">
        <v>0</v>
      </c>
      <c r="L254" s="480">
        <v>0</v>
      </c>
      <c r="M254" s="480">
        <v>0</v>
      </c>
      <c r="N254" s="480">
        <v>0</v>
      </c>
      <c r="O254" s="480">
        <v>32691.962</v>
      </c>
      <c r="P254" s="480">
        <v>0</v>
      </c>
      <c r="Q254" s="480">
        <v>0</v>
      </c>
      <c r="R254" s="480">
        <v>29802.595000000001</v>
      </c>
      <c r="S254" s="480">
        <v>0</v>
      </c>
      <c r="T254" s="30">
        <v>0</v>
      </c>
      <c r="U254" s="39"/>
    </row>
    <row r="255" spans="1:21" ht="22.5" hidden="1">
      <c r="A255" s="20"/>
      <c r="B255" s="75" t="s">
        <v>475</v>
      </c>
      <c r="C255" s="34">
        <v>7468461</v>
      </c>
      <c r="D255" s="44">
        <v>31971</v>
      </c>
      <c r="E255" s="24">
        <v>29693.358</v>
      </c>
      <c r="F255" s="24"/>
      <c r="G255" s="24"/>
      <c r="H255" s="24"/>
      <c r="I255" s="24"/>
      <c r="J255" s="24"/>
      <c r="K255" s="24"/>
      <c r="L255" s="24"/>
      <c r="M255" s="24"/>
      <c r="N255" s="24"/>
      <c r="O255" s="24"/>
      <c r="P255" s="24"/>
      <c r="Q255" s="24"/>
      <c r="R255" s="24">
        <v>29693.358</v>
      </c>
      <c r="S255" s="24"/>
      <c r="T255" s="22"/>
      <c r="U255" s="22"/>
    </row>
    <row r="256" spans="1:21" ht="33.75" hidden="1">
      <c r="A256" s="20"/>
      <c r="B256" s="75" t="s">
        <v>465</v>
      </c>
      <c r="C256" s="34">
        <v>7411898</v>
      </c>
      <c r="D256" s="44">
        <v>48668</v>
      </c>
      <c r="E256" s="24">
        <v>32691.962</v>
      </c>
      <c r="F256" s="24"/>
      <c r="G256" s="24"/>
      <c r="H256" s="24"/>
      <c r="I256" s="24"/>
      <c r="J256" s="24"/>
      <c r="K256" s="24"/>
      <c r="L256" s="24"/>
      <c r="M256" s="24"/>
      <c r="N256" s="24"/>
      <c r="O256" s="24">
        <v>32691.962</v>
      </c>
      <c r="P256" s="24"/>
      <c r="Q256" s="24"/>
      <c r="R256" s="24"/>
      <c r="S256" s="24"/>
      <c r="T256" s="22"/>
      <c r="U256" s="22"/>
    </row>
    <row r="257" spans="1:21" ht="33.75" hidden="1">
      <c r="A257" s="20"/>
      <c r="B257" s="117" t="s">
        <v>476</v>
      </c>
      <c r="C257" s="68">
        <v>7421170</v>
      </c>
      <c r="D257" s="86">
        <v>5514</v>
      </c>
      <c r="E257" s="24">
        <v>109.23699999999999</v>
      </c>
      <c r="F257" s="24"/>
      <c r="G257" s="24"/>
      <c r="H257" s="24"/>
      <c r="I257" s="24"/>
      <c r="J257" s="24"/>
      <c r="K257" s="24"/>
      <c r="L257" s="24"/>
      <c r="M257" s="24"/>
      <c r="N257" s="24"/>
      <c r="O257" s="24"/>
      <c r="P257" s="24"/>
      <c r="Q257" s="24"/>
      <c r="R257" s="24">
        <v>109.23699999999999</v>
      </c>
      <c r="S257" s="24"/>
      <c r="T257" s="22"/>
      <c r="U257" s="22"/>
    </row>
    <row r="258" spans="1:21" s="41" customFormat="1" ht="12" customHeight="1">
      <c r="A258" s="99"/>
      <c r="B258" s="118" t="s">
        <v>287</v>
      </c>
      <c r="C258" s="119"/>
      <c r="D258" s="113">
        <v>553050</v>
      </c>
      <c r="E258" s="491">
        <v>448193.21394399996</v>
      </c>
      <c r="F258" s="491">
        <v>0</v>
      </c>
      <c r="G258" s="491">
        <v>0</v>
      </c>
      <c r="H258" s="491">
        <v>0</v>
      </c>
      <c r="I258" s="491">
        <v>0</v>
      </c>
      <c r="J258" s="491">
        <v>0</v>
      </c>
      <c r="K258" s="491">
        <v>0</v>
      </c>
      <c r="L258" s="491">
        <v>0</v>
      </c>
      <c r="M258" s="491">
        <v>0</v>
      </c>
      <c r="N258" s="491">
        <v>0</v>
      </c>
      <c r="O258" s="491">
        <v>446191.21794399997</v>
      </c>
      <c r="P258" s="491">
        <v>0</v>
      </c>
      <c r="Q258" s="491">
        <v>0</v>
      </c>
      <c r="R258" s="491">
        <v>2001.9960000000001</v>
      </c>
      <c r="S258" s="491">
        <v>0</v>
      </c>
      <c r="T258" s="113">
        <v>0</v>
      </c>
      <c r="U258" s="93"/>
    </row>
    <row r="259" spans="1:21" ht="33.75" hidden="1">
      <c r="A259" s="20"/>
      <c r="B259" s="75" t="s">
        <v>465</v>
      </c>
      <c r="C259" s="34">
        <v>7411898</v>
      </c>
      <c r="D259" s="71">
        <v>547650</v>
      </c>
      <c r="E259" s="24">
        <v>446191.21794399997</v>
      </c>
      <c r="F259" s="24"/>
      <c r="G259" s="24"/>
      <c r="H259" s="24"/>
      <c r="I259" s="24"/>
      <c r="J259" s="24"/>
      <c r="K259" s="24"/>
      <c r="L259" s="24"/>
      <c r="M259" s="24"/>
      <c r="N259" s="24"/>
      <c r="O259" s="24">
        <v>446191.21794399997</v>
      </c>
      <c r="P259" s="24"/>
      <c r="Q259" s="24"/>
      <c r="R259" s="24"/>
      <c r="S259" s="24"/>
      <c r="T259" s="22"/>
      <c r="U259" s="22"/>
    </row>
    <row r="260" spans="1:21" ht="33.75" hidden="1">
      <c r="A260" s="20"/>
      <c r="B260" s="117" t="s">
        <v>476</v>
      </c>
      <c r="C260" s="68">
        <v>7421170</v>
      </c>
      <c r="D260" s="71">
        <v>5400</v>
      </c>
      <c r="E260" s="24">
        <v>2001.9960000000001</v>
      </c>
      <c r="F260" s="24"/>
      <c r="G260" s="24"/>
      <c r="H260" s="24"/>
      <c r="I260" s="24"/>
      <c r="J260" s="24"/>
      <c r="K260" s="24"/>
      <c r="L260" s="24"/>
      <c r="M260" s="24"/>
      <c r="N260" s="24"/>
      <c r="O260" s="24"/>
      <c r="P260" s="24"/>
      <c r="Q260" s="24"/>
      <c r="R260" s="24">
        <v>2001.9960000000001</v>
      </c>
      <c r="S260" s="24"/>
      <c r="T260" s="22"/>
      <c r="U260" s="22"/>
    </row>
    <row r="261" spans="1:21" s="27" customFormat="1" ht="10.5">
      <c r="A261" s="243">
        <v>24</v>
      </c>
      <c r="B261" s="18" t="s">
        <v>477</v>
      </c>
      <c r="C261" s="18"/>
      <c r="D261" s="19">
        <v>19510</v>
      </c>
      <c r="E261" s="124">
        <v>15458.9938</v>
      </c>
      <c r="F261" s="124">
        <v>0</v>
      </c>
      <c r="G261" s="124">
        <v>15458.9938</v>
      </c>
      <c r="H261" s="124">
        <v>0</v>
      </c>
      <c r="I261" s="124">
        <v>0</v>
      </c>
      <c r="J261" s="124">
        <v>0</v>
      </c>
      <c r="K261" s="124">
        <v>0</v>
      </c>
      <c r="L261" s="124">
        <v>0</v>
      </c>
      <c r="M261" s="124">
        <v>0</v>
      </c>
      <c r="N261" s="124">
        <v>0</v>
      </c>
      <c r="O261" s="124">
        <v>0</v>
      </c>
      <c r="P261" s="124">
        <v>0</v>
      </c>
      <c r="Q261" s="124">
        <v>0</v>
      </c>
      <c r="R261" s="124">
        <v>0</v>
      </c>
      <c r="S261" s="124">
        <v>0</v>
      </c>
      <c r="T261" s="19">
        <v>0</v>
      </c>
      <c r="U261" s="19"/>
    </row>
    <row r="262" spans="1:21" s="46" customFormat="1" hidden="1">
      <c r="A262" s="37"/>
      <c r="B262" s="38" t="s">
        <v>294</v>
      </c>
      <c r="C262" s="38"/>
      <c r="D262" s="39">
        <v>14510</v>
      </c>
      <c r="E262" s="61">
        <v>13450.4938</v>
      </c>
      <c r="F262" s="61">
        <v>0</v>
      </c>
      <c r="G262" s="61">
        <v>13450.4938</v>
      </c>
      <c r="H262" s="61">
        <v>0</v>
      </c>
      <c r="I262" s="61">
        <v>0</v>
      </c>
      <c r="J262" s="61">
        <v>0</v>
      </c>
      <c r="K262" s="61">
        <v>0</v>
      </c>
      <c r="L262" s="61">
        <v>0</v>
      </c>
      <c r="M262" s="61">
        <v>0</v>
      </c>
      <c r="N262" s="61">
        <v>0</v>
      </c>
      <c r="O262" s="61">
        <v>0</v>
      </c>
      <c r="P262" s="61">
        <v>0</v>
      </c>
      <c r="Q262" s="61">
        <v>0</v>
      </c>
      <c r="R262" s="61">
        <v>0</v>
      </c>
      <c r="S262" s="61">
        <v>0</v>
      </c>
      <c r="T262" s="39">
        <v>0</v>
      </c>
      <c r="U262" s="39"/>
    </row>
    <row r="263" spans="1:21" ht="22.5" hidden="1">
      <c r="A263" s="20"/>
      <c r="B263" s="120" t="s">
        <v>478</v>
      </c>
      <c r="C263" s="121">
        <v>7227812</v>
      </c>
      <c r="D263" s="44">
        <v>6251.5879999999997</v>
      </c>
      <c r="E263" s="482">
        <v>6425.5418</v>
      </c>
      <c r="F263" s="24"/>
      <c r="G263" s="24">
        <v>6425.5418</v>
      </c>
      <c r="H263" s="24"/>
      <c r="I263" s="24"/>
      <c r="J263" s="24"/>
      <c r="K263" s="24"/>
      <c r="L263" s="24"/>
      <c r="M263" s="24"/>
      <c r="N263" s="24"/>
      <c r="O263" s="24"/>
      <c r="P263" s="24"/>
      <c r="Q263" s="24"/>
      <c r="R263" s="24"/>
      <c r="S263" s="24"/>
      <c r="T263" s="22"/>
      <c r="U263" s="22"/>
    </row>
    <row r="264" spans="1:21" ht="22.5" hidden="1">
      <c r="A264" s="20"/>
      <c r="B264" s="120" t="s">
        <v>479</v>
      </c>
      <c r="C264" s="122">
        <v>7608901</v>
      </c>
      <c r="D264" s="44">
        <v>1500</v>
      </c>
      <c r="E264" s="482">
        <v>600</v>
      </c>
      <c r="F264" s="24"/>
      <c r="G264" s="24">
        <v>600</v>
      </c>
      <c r="H264" s="24"/>
      <c r="I264" s="24"/>
      <c r="J264" s="24"/>
      <c r="K264" s="24"/>
      <c r="L264" s="24"/>
      <c r="M264" s="24"/>
      <c r="N264" s="24"/>
      <c r="O264" s="24"/>
      <c r="P264" s="24"/>
      <c r="Q264" s="24"/>
      <c r="R264" s="24"/>
      <c r="S264" s="24"/>
      <c r="T264" s="22"/>
      <c r="U264" s="22"/>
    </row>
    <row r="265" spans="1:21" ht="56.25" hidden="1">
      <c r="A265" s="20"/>
      <c r="B265" s="120" t="s">
        <v>480</v>
      </c>
      <c r="C265" s="88">
        <v>7608900</v>
      </c>
      <c r="D265" s="44">
        <v>4958.4120000000003</v>
      </c>
      <c r="E265" s="482">
        <v>4656.9520000000002</v>
      </c>
      <c r="F265" s="24"/>
      <c r="G265" s="24">
        <v>4656.9520000000002</v>
      </c>
      <c r="H265" s="24"/>
      <c r="I265" s="24"/>
      <c r="J265" s="24"/>
      <c r="K265" s="24"/>
      <c r="L265" s="24"/>
      <c r="M265" s="24"/>
      <c r="N265" s="24"/>
      <c r="O265" s="24"/>
      <c r="P265" s="24"/>
      <c r="Q265" s="24"/>
      <c r="R265" s="24"/>
      <c r="S265" s="24"/>
      <c r="T265" s="22"/>
      <c r="U265" s="22"/>
    </row>
    <row r="266" spans="1:21" ht="33.75" hidden="1">
      <c r="A266" s="20"/>
      <c r="B266" s="120" t="s">
        <v>481</v>
      </c>
      <c r="C266" s="88">
        <v>7616590</v>
      </c>
      <c r="D266" s="44">
        <v>800</v>
      </c>
      <c r="E266" s="482">
        <v>788</v>
      </c>
      <c r="F266" s="24"/>
      <c r="G266" s="24">
        <v>788</v>
      </c>
      <c r="H266" s="24"/>
      <c r="I266" s="24"/>
      <c r="J266" s="24"/>
      <c r="K266" s="24"/>
      <c r="L266" s="24"/>
      <c r="M266" s="24"/>
      <c r="N266" s="24"/>
      <c r="O266" s="24"/>
      <c r="P266" s="24"/>
      <c r="Q266" s="24"/>
      <c r="R266" s="24"/>
      <c r="S266" s="24"/>
      <c r="T266" s="22"/>
      <c r="U266" s="22"/>
    </row>
    <row r="267" spans="1:21" ht="45" hidden="1">
      <c r="A267" s="20"/>
      <c r="B267" s="120" t="s">
        <v>482</v>
      </c>
      <c r="C267" s="88">
        <v>7616591</v>
      </c>
      <c r="D267" s="44">
        <v>1000</v>
      </c>
      <c r="E267" s="482">
        <v>980</v>
      </c>
      <c r="F267" s="24"/>
      <c r="G267" s="24">
        <v>980</v>
      </c>
      <c r="H267" s="24"/>
      <c r="I267" s="24"/>
      <c r="J267" s="24"/>
      <c r="K267" s="24"/>
      <c r="L267" s="24"/>
      <c r="M267" s="24"/>
      <c r="N267" s="24"/>
      <c r="O267" s="24"/>
      <c r="P267" s="24"/>
      <c r="Q267" s="24"/>
      <c r="R267" s="24"/>
      <c r="S267" s="24"/>
      <c r="T267" s="22"/>
      <c r="U267" s="22"/>
    </row>
    <row r="268" spans="1:21" s="46" customFormat="1" hidden="1">
      <c r="A268" s="37"/>
      <c r="B268" s="38" t="s">
        <v>280</v>
      </c>
      <c r="C268" s="38"/>
      <c r="D268" s="39">
        <v>5000</v>
      </c>
      <c r="E268" s="61">
        <v>2008.5</v>
      </c>
      <c r="F268" s="61">
        <v>0</v>
      </c>
      <c r="G268" s="61">
        <v>2008.5</v>
      </c>
      <c r="H268" s="61">
        <v>0</v>
      </c>
      <c r="I268" s="61">
        <v>0</v>
      </c>
      <c r="J268" s="61">
        <v>0</v>
      </c>
      <c r="K268" s="61">
        <v>0</v>
      </c>
      <c r="L268" s="61">
        <v>0</v>
      </c>
      <c r="M268" s="61">
        <v>0</v>
      </c>
      <c r="N268" s="61">
        <v>0</v>
      </c>
      <c r="O268" s="61">
        <v>0</v>
      </c>
      <c r="P268" s="61">
        <v>0</v>
      </c>
      <c r="Q268" s="61">
        <v>0</v>
      </c>
      <c r="R268" s="61">
        <v>0</v>
      </c>
      <c r="S268" s="61">
        <v>0</v>
      </c>
      <c r="T268" s="39">
        <v>0</v>
      </c>
      <c r="U268" s="39"/>
    </row>
    <row r="269" spans="1:21" ht="56.25" hidden="1">
      <c r="A269" s="20"/>
      <c r="B269" s="33" t="s">
        <v>483</v>
      </c>
      <c r="C269" s="34">
        <v>7608900</v>
      </c>
      <c r="D269" s="22">
        <v>4000</v>
      </c>
      <c r="E269" s="24">
        <v>1998.5</v>
      </c>
      <c r="F269" s="24"/>
      <c r="G269" s="24">
        <v>1998.5</v>
      </c>
      <c r="H269" s="24"/>
      <c r="I269" s="24"/>
      <c r="J269" s="24"/>
      <c r="K269" s="24"/>
      <c r="L269" s="24"/>
      <c r="M269" s="24"/>
      <c r="N269" s="24"/>
      <c r="O269" s="24"/>
      <c r="P269" s="24"/>
      <c r="Q269" s="24"/>
      <c r="R269" s="24"/>
      <c r="S269" s="24"/>
      <c r="T269" s="22"/>
      <c r="U269" s="22"/>
    </row>
    <row r="270" spans="1:21" ht="22.5" hidden="1">
      <c r="A270" s="20"/>
      <c r="B270" s="33" t="s">
        <v>479</v>
      </c>
      <c r="C270" s="34">
        <v>7608901</v>
      </c>
      <c r="D270" s="22">
        <v>1000</v>
      </c>
      <c r="E270" s="24">
        <v>10</v>
      </c>
      <c r="F270" s="24"/>
      <c r="G270" s="24">
        <v>10</v>
      </c>
      <c r="H270" s="24"/>
      <c r="I270" s="24"/>
      <c r="J270" s="24"/>
      <c r="K270" s="24"/>
      <c r="L270" s="24"/>
      <c r="M270" s="24"/>
      <c r="N270" s="24"/>
      <c r="O270" s="24"/>
      <c r="P270" s="24"/>
      <c r="Q270" s="24"/>
      <c r="R270" s="24"/>
      <c r="S270" s="24"/>
      <c r="T270" s="22"/>
      <c r="U270" s="22"/>
    </row>
    <row r="271" spans="1:21" s="27" customFormat="1" ht="10.5">
      <c r="A271" s="243">
        <v>25</v>
      </c>
      <c r="B271" s="18" t="s">
        <v>484</v>
      </c>
      <c r="C271" s="18"/>
      <c r="D271" s="19">
        <v>1876.6279999999999</v>
      </c>
      <c r="E271" s="124">
        <v>1872.645</v>
      </c>
      <c r="F271" s="124">
        <v>0</v>
      </c>
      <c r="G271" s="124">
        <v>0</v>
      </c>
      <c r="H271" s="124">
        <v>0</v>
      </c>
      <c r="I271" s="124">
        <v>0</v>
      </c>
      <c r="J271" s="124">
        <v>0</v>
      </c>
      <c r="K271" s="124">
        <v>0</v>
      </c>
      <c r="L271" s="124">
        <v>0</v>
      </c>
      <c r="M271" s="124">
        <v>0</v>
      </c>
      <c r="N271" s="124">
        <v>0</v>
      </c>
      <c r="O271" s="124">
        <v>1872.645</v>
      </c>
      <c r="P271" s="124">
        <v>0</v>
      </c>
      <c r="Q271" s="124">
        <v>0</v>
      </c>
      <c r="R271" s="124">
        <v>0</v>
      </c>
      <c r="S271" s="124">
        <v>0</v>
      </c>
      <c r="T271" s="19">
        <v>0</v>
      </c>
      <c r="U271" s="19"/>
    </row>
    <row r="272" spans="1:21" s="41" customFormat="1" hidden="1">
      <c r="A272" s="37"/>
      <c r="B272" s="38" t="s">
        <v>294</v>
      </c>
      <c r="C272" s="38"/>
      <c r="D272" s="39">
        <v>1876.6279999999999</v>
      </c>
      <c r="E272" s="61">
        <v>1872.645</v>
      </c>
      <c r="F272" s="61">
        <v>0</v>
      </c>
      <c r="G272" s="61">
        <v>0</v>
      </c>
      <c r="H272" s="61">
        <v>0</v>
      </c>
      <c r="I272" s="61">
        <v>0</v>
      </c>
      <c r="J272" s="61">
        <v>0</v>
      </c>
      <c r="K272" s="61">
        <v>0</v>
      </c>
      <c r="L272" s="61">
        <v>0</v>
      </c>
      <c r="M272" s="61">
        <v>0</v>
      </c>
      <c r="N272" s="61">
        <v>0</v>
      </c>
      <c r="O272" s="61">
        <v>1872.645</v>
      </c>
      <c r="P272" s="61">
        <v>0</v>
      </c>
      <c r="Q272" s="61">
        <v>0</v>
      </c>
      <c r="R272" s="61">
        <v>0</v>
      </c>
      <c r="S272" s="61">
        <v>0</v>
      </c>
      <c r="T272" s="39">
        <v>0</v>
      </c>
      <c r="U272" s="39"/>
    </row>
    <row r="273" spans="1:22" ht="22.5" hidden="1">
      <c r="A273" s="20"/>
      <c r="B273" s="21" t="s">
        <v>485</v>
      </c>
      <c r="C273" s="20">
        <v>7623167</v>
      </c>
      <c r="D273" s="22">
        <v>250</v>
      </c>
      <c r="E273" s="24">
        <v>250</v>
      </c>
      <c r="F273" s="24"/>
      <c r="G273" s="24"/>
      <c r="H273" s="24"/>
      <c r="I273" s="24"/>
      <c r="J273" s="24"/>
      <c r="K273" s="24"/>
      <c r="L273" s="24"/>
      <c r="M273" s="24"/>
      <c r="N273" s="24"/>
      <c r="O273" s="24">
        <v>250</v>
      </c>
      <c r="P273" s="24"/>
      <c r="Q273" s="24"/>
      <c r="R273" s="24"/>
      <c r="S273" s="24"/>
      <c r="T273" s="22"/>
      <c r="U273" s="22"/>
    </row>
    <row r="274" spans="1:22" ht="22.5" hidden="1">
      <c r="A274" s="20"/>
      <c r="B274" s="49" t="s">
        <v>486</v>
      </c>
      <c r="C274" s="123">
        <v>7502562</v>
      </c>
      <c r="D274" s="22">
        <v>500</v>
      </c>
      <c r="E274" s="24">
        <v>496.017</v>
      </c>
      <c r="F274" s="24"/>
      <c r="G274" s="24"/>
      <c r="H274" s="24"/>
      <c r="I274" s="24"/>
      <c r="J274" s="24"/>
      <c r="K274" s="24"/>
      <c r="L274" s="24"/>
      <c r="M274" s="24"/>
      <c r="N274" s="24"/>
      <c r="O274" s="24">
        <v>496.017</v>
      </c>
      <c r="P274" s="24"/>
      <c r="Q274" s="24"/>
      <c r="R274" s="24"/>
      <c r="S274" s="24"/>
      <c r="T274" s="22"/>
      <c r="U274" s="22"/>
    </row>
    <row r="275" spans="1:22" ht="45" hidden="1">
      <c r="A275" s="20"/>
      <c r="B275" s="49" t="s">
        <v>487</v>
      </c>
      <c r="C275" s="105">
        <v>7515548</v>
      </c>
      <c r="D275" s="44">
        <v>1126.6279999999999</v>
      </c>
      <c r="E275" s="482">
        <v>1126.6279999999999</v>
      </c>
      <c r="F275" s="24"/>
      <c r="G275" s="24"/>
      <c r="H275" s="24"/>
      <c r="I275" s="24"/>
      <c r="J275" s="24"/>
      <c r="K275" s="482"/>
      <c r="L275" s="24"/>
      <c r="M275" s="24"/>
      <c r="N275" s="24"/>
      <c r="O275" s="482">
        <v>1126.6279999999999</v>
      </c>
      <c r="P275" s="24"/>
      <c r="Q275" s="24"/>
      <c r="R275" s="24"/>
      <c r="S275" s="24"/>
      <c r="T275" s="22"/>
      <c r="U275" s="22"/>
    </row>
    <row r="276" spans="1:22">
      <c r="A276" s="243">
        <v>26</v>
      </c>
      <c r="B276" s="18" t="s">
        <v>488</v>
      </c>
      <c r="C276" s="18"/>
      <c r="D276" s="19">
        <v>97489.08600000001</v>
      </c>
      <c r="E276" s="124">
        <v>134397.90528899999</v>
      </c>
      <c r="F276" s="124">
        <v>0</v>
      </c>
      <c r="G276" s="124">
        <v>0</v>
      </c>
      <c r="H276" s="124">
        <v>0</v>
      </c>
      <c r="I276" s="124">
        <v>0</v>
      </c>
      <c r="J276" s="124">
        <v>0</v>
      </c>
      <c r="K276" s="124">
        <v>22519.741999999998</v>
      </c>
      <c r="L276" s="124">
        <v>0</v>
      </c>
      <c r="M276" s="124">
        <v>0</v>
      </c>
      <c r="N276" s="124">
        <v>0</v>
      </c>
      <c r="O276" s="124">
        <v>111878.16328899999</v>
      </c>
      <c r="P276" s="124">
        <v>17397.278999999999</v>
      </c>
      <c r="Q276" s="124">
        <v>1107</v>
      </c>
      <c r="R276" s="124">
        <v>0</v>
      </c>
      <c r="S276" s="124">
        <v>0</v>
      </c>
      <c r="T276" s="19">
        <v>0</v>
      </c>
      <c r="U276" s="19"/>
    </row>
    <row r="277" spans="1:22" s="41" customFormat="1">
      <c r="A277" s="99"/>
      <c r="B277" s="92" t="s">
        <v>183</v>
      </c>
      <c r="C277" s="92"/>
      <c r="D277" s="93">
        <v>97489.08600000001</v>
      </c>
      <c r="E277" s="489">
        <v>133821.95628899999</v>
      </c>
      <c r="F277" s="489">
        <v>0</v>
      </c>
      <c r="G277" s="489">
        <v>0</v>
      </c>
      <c r="H277" s="489">
        <v>0</v>
      </c>
      <c r="I277" s="489">
        <v>0</v>
      </c>
      <c r="J277" s="489">
        <v>0</v>
      </c>
      <c r="K277" s="489">
        <v>22519.741999999998</v>
      </c>
      <c r="L277" s="489">
        <v>0</v>
      </c>
      <c r="M277" s="489">
        <v>0</v>
      </c>
      <c r="N277" s="489">
        <v>0</v>
      </c>
      <c r="O277" s="489">
        <v>111302.214289</v>
      </c>
      <c r="P277" s="489">
        <v>17397.278999999999</v>
      </c>
      <c r="Q277" s="489">
        <v>1107</v>
      </c>
      <c r="R277" s="489">
        <v>0</v>
      </c>
      <c r="S277" s="489">
        <v>0</v>
      </c>
      <c r="T277" s="93">
        <v>0</v>
      </c>
      <c r="U277" s="93"/>
    </row>
    <row r="278" spans="1:22" s="41" customFormat="1" hidden="1">
      <c r="A278" s="37"/>
      <c r="B278" s="38" t="s">
        <v>294</v>
      </c>
      <c r="C278" s="38"/>
      <c r="D278" s="39">
        <v>5706.2860000000001</v>
      </c>
      <c r="E278" s="61">
        <v>4484.2842890000002</v>
      </c>
      <c r="F278" s="61">
        <v>0</v>
      </c>
      <c r="G278" s="61">
        <v>0</v>
      </c>
      <c r="H278" s="61">
        <v>0</v>
      </c>
      <c r="I278" s="61">
        <v>0</v>
      </c>
      <c r="J278" s="61">
        <v>0</v>
      </c>
      <c r="K278" s="61">
        <v>0</v>
      </c>
      <c r="L278" s="61">
        <v>0</v>
      </c>
      <c r="M278" s="61">
        <v>0</v>
      </c>
      <c r="N278" s="61">
        <v>0</v>
      </c>
      <c r="O278" s="61">
        <v>4484.2842890000002</v>
      </c>
      <c r="P278" s="61">
        <v>77.286000000000001</v>
      </c>
      <c r="Q278" s="61">
        <v>1107</v>
      </c>
      <c r="R278" s="61">
        <v>0</v>
      </c>
      <c r="S278" s="61">
        <v>0</v>
      </c>
      <c r="T278" s="39">
        <v>0</v>
      </c>
      <c r="U278" s="39"/>
    </row>
    <row r="279" spans="1:22" ht="33.75" hidden="1">
      <c r="A279" s="20"/>
      <c r="B279" s="21" t="s">
        <v>489</v>
      </c>
      <c r="C279" s="21">
        <v>7623879</v>
      </c>
      <c r="D279" s="22">
        <v>200</v>
      </c>
      <c r="E279" s="24">
        <v>200</v>
      </c>
      <c r="F279" s="24"/>
      <c r="G279" s="24"/>
      <c r="H279" s="24"/>
      <c r="I279" s="24"/>
      <c r="J279" s="24"/>
      <c r="K279" s="24"/>
      <c r="L279" s="24"/>
      <c r="M279" s="24"/>
      <c r="N279" s="24"/>
      <c r="O279" s="24">
        <v>200</v>
      </c>
      <c r="P279" s="24"/>
      <c r="Q279" s="24"/>
      <c r="R279" s="24"/>
      <c r="S279" s="24"/>
      <c r="T279" s="22"/>
      <c r="U279" s="22"/>
    </row>
    <row r="280" spans="1:22" ht="22.5" hidden="1">
      <c r="A280" s="20"/>
      <c r="B280" s="102" t="s">
        <v>490</v>
      </c>
      <c r="C280" s="21">
        <v>7263704</v>
      </c>
      <c r="D280" s="22">
        <v>2000</v>
      </c>
      <c r="E280" s="24">
        <v>0</v>
      </c>
      <c r="F280" s="24"/>
      <c r="G280" s="24"/>
      <c r="H280" s="24"/>
      <c r="I280" s="24"/>
      <c r="J280" s="24"/>
      <c r="K280" s="24"/>
      <c r="L280" s="24"/>
      <c r="M280" s="24"/>
      <c r="N280" s="24"/>
      <c r="O280" s="24"/>
      <c r="P280" s="24"/>
      <c r="Q280" s="24"/>
      <c r="R280" s="24"/>
      <c r="S280" s="24"/>
      <c r="T280" s="22"/>
      <c r="U280" s="22"/>
    </row>
    <row r="281" spans="1:22" ht="33.75" hidden="1">
      <c r="A281" s="20"/>
      <c r="B281" s="45" t="s">
        <v>491</v>
      </c>
      <c r="C281" s="43">
        <v>7301299</v>
      </c>
      <c r="D281" s="22">
        <v>1107</v>
      </c>
      <c r="E281" s="24">
        <v>1107</v>
      </c>
      <c r="F281" s="24"/>
      <c r="G281" s="24"/>
      <c r="H281" s="24"/>
      <c r="I281" s="24"/>
      <c r="J281" s="24"/>
      <c r="K281" s="24"/>
      <c r="L281" s="24"/>
      <c r="M281" s="24"/>
      <c r="N281" s="24"/>
      <c r="O281" s="24">
        <v>1107</v>
      </c>
      <c r="P281" s="24"/>
      <c r="Q281" s="24">
        <v>1107</v>
      </c>
      <c r="R281" s="24"/>
      <c r="S281" s="24"/>
      <c r="T281" s="22"/>
      <c r="U281" s="22"/>
    </row>
    <row r="282" spans="1:22" ht="22.5" hidden="1">
      <c r="A282" s="20"/>
      <c r="B282" s="45" t="s">
        <v>492</v>
      </c>
      <c r="C282" s="43">
        <v>7368611</v>
      </c>
      <c r="D282" s="44">
        <v>77.286000000000001</v>
      </c>
      <c r="E282" s="482">
        <v>77.286000000000001</v>
      </c>
      <c r="F282" s="24"/>
      <c r="G282" s="24"/>
      <c r="H282" s="24"/>
      <c r="I282" s="24"/>
      <c r="J282" s="24"/>
      <c r="K282" s="24"/>
      <c r="L282" s="24"/>
      <c r="M282" s="24"/>
      <c r="N282" s="24"/>
      <c r="O282" s="482">
        <v>77.286000000000001</v>
      </c>
      <c r="P282" s="482">
        <v>77.286000000000001</v>
      </c>
      <c r="Q282" s="24"/>
      <c r="R282" s="24"/>
      <c r="S282" s="24"/>
      <c r="T282" s="22"/>
      <c r="U282" s="22"/>
    </row>
    <row r="283" spans="1:22" s="27" customFormat="1" ht="22.5" hidden="1">
      <c r="A283" s="243"/>
      <c r="B283" s="33" t="s">
        <v>493</v>
      </c>
      <c r="C283" s="34">
        <v>7580242</v>
      </c>
      <c r="D283" s="19"/>
      <c r="E283" s="24">
        <v>17.998999999999999</v>
      </c>
      <c r="F283" s="124"/>
      <c r="G283" s="124"/>
      <c r="H283" s="124"/>
      <c r="I283" s="124"/>
      <c r="J283" s="124"/>
      <c r="K283" s="124"/>
      <c r="L283" s="124"/>
      <c r="M283" s="124"/>
      <c r="N283" s="124"/>
      <c r="O283" s="24">
        <v>17.998999999999999</v>
      </c>
      <c r="P283" s="124"/>
      <c r="Q283" s="124"/>
      <c r="R283" s="124"/>
      <c r="S283" s="124"/>
      <c r="T283" s="19"/>
      <c r="U283" s="19"/>
    </row>
    <row r="284" spans="1:22" ht="33.75" hidden="1" customHeight="1">
      <c r="A284" s="20"/>
      <c r="B284" s="67" t="s">
        <v>494</v>
      </c>
      <c r="C284" s="125">
        <v>7266748</v>
      </c>
      <c r="D284" s="71">
        <v>2322</v>
      </c>
      <c r="E284" s="24">
        <v>3081.9992889999999</v>
      </c>
      <c r="F284" s="24"/>
      <c r="G284" s="24"/>
      <c r="H284" s="24"/>
      <c r="I284" s="24"/>
      <c r="J284" s="24"/>
      <c r="K284" s="24"/>
      <c r="L284" s="24"/>
      <c r="M284" s="24"/>
      <c r="N284" s="24"/>
      <c r="O284" s="24">
        <v>3081.9992889999999</v>
      </c>
      <c r="P284" s="24"/>
      <c r="Q284" s="24"/>
      <c r="R284" s="24"/>
      <c r="S284" s="24"/>
      <c r="T284" s="22"/>
      <c r="U284" s="22"/>
      <c r="V284" s="477"/>
    </row>
    <row r="285" spans="1:22" s="46" customFormat="1" ht="48.75" hidden="1" customHeight="1">
      <c r="A285" s="37"/>
      <c r="B285" s="126" t="s">
        <v>279</v>
      </c>
      <c r="C285" s="127"/>
      <c r="D285" s="30">
        <v>0</v>
      </c>
      <c r="E285" s="61">
        <v>2307.078</v>
      </c>
      <c r="F285" s="61">
        <v>0</v>
      </c>
      <c r="G285" s="61">
        <v>0</v>
      </c>
      <c r="H285" s="61">
        <v>0</v>
      </c>
      <c r="I285" s="61">
        <v>0</v>
      </c>
      <c r="J285" s="61">
        <v>0</v>
      </c>
      <c r="K285" s="61">
        <v>0</v>
      </c>
      <c r="L285" s="61">
        <v>0</v>
      </c>
      <c r="M285" s="61">
        <v>0</v>
      </c>
      <c r="N285" s="61">
        <v>0</v>
      </c>
      <c r="O285" s="61">
        <v>2307.078</v>
      </c>
      <c r="P285" s="61">
        <v>2307.078</v>
      </c>
      <c r="Q285" s="61">
        <v>0</v>
      </c>
      <c r="R285" s="61">
        <v>0</v>
      </c>
      <c r="S285" s="61">
        <v>0</v>
      </c>
      <c r="T285" s="39">
        <v>0</v>
      </c>
      <c r="U285" s="39"/>
      <c r="V285" s="128"/>
    </row>
    <row r="286" spans="1:22" ht="22.5" hidden="1">
      <c r="A286" s="20"/>
      <c r="B286" s="33" t="s">
        <v>495</v>
      </c>
      <c r="C286" s="34">
        <v>7020737</v>
      </c>
      <c r="D286" s="22"/>
      <c r="E286" s="24">
        <v>2307.078</v>
      </c>
      <c r="F286" s="24"/>
      <c r="G286" s="24"/>
      <c r="H286" s="24"/>
      <c r="I286" s="24"/>
      <c r="J286" s="24"/>
      <c r="K286" s="24"/>
      <c r="L286" s="24"/>
      <c r="M286" s="24"/>
      <c r="N286" s="24"/>
      <c r="O286" s="24">
        <v>2307.078</v>
      </c>
      <c r="P286" s="24">
        <v>2307.078</v>
      </c>
      <c r="Q286" s="24"/>
      <c r="R286" s="24"/>
      <c r="S286" s="24"/>
      <c r="T286" s="22"/>
      <c r="U286" s="22"/>
    </row>
    <row r="287" spans="1:22" s="46" customFormat="1" hidden="1">
      <c r="A287" s="37"/>
      <c r="B287" s="74" t="s">
        <v>280</v>
      </c>
      <c r="C287" s="129"/>
      <c r="D287" s="30">
        <v>91782.8</v>
      </c>
      <c r="E287" s="480">
        <v>90628.584000000003</v>
      </c>
      <c r="F287" s="480">
        <v>0</v>
      </c>
      <c r="G287" s="480">
        <v>0</v>
      </c>
      <c r="H287" s="480">
        <v>0</v>
      </c>
      <c r="I287" s="480">
        <v>0</v>
      </c>
      <c r="J287" s="480">
        <v>0</v>
      </c>
      <c r="K287" s="480">
        <v>22519.741999999998</v>
      </c>
      <c r="L287" s="480">
        <v>0</v>
      </c>
      <c r="M287" s="480">
        <v>0</v>
      </c>
      <c r="N287" s="480">
        <v>0</v>
      </c>
      <c r="O287" s="480">
        <v>68108.842000000004</v>
      </c>
      <c r="P287" s="480">
        <v>15012.914999999999</v>
      </c>
      <c r="Q287" s="480">
        <v>0</v>
      </c>
      <c r="R287" s="480">
        <v>0</v>
      </c>
      <c r="S287" s="480">
        <v>0</v>
      </c>
      <c r="T287" s="30">
        <v>0</v>
      </c>
      <c r="U287" s="39"/>
    </row>
    <row r="288" spans="1:22" ht="33.75" hidden="1">
      <c r="A288" s="20"/>
      <c r="B288" s="49" t="s">
        <v>496</v>
      </c>
      <c r="C288" s="34">
        <v>7227075</v>
      </c>
      <c r="D288" s="44">
        <v>14000</v>
      </c>
      <c r="E288" s="24">
        <v>14097.23</v>
      </c>
      <c r="F288" s="24"/>
      <c r="G288" s="24"/>
      <c r="H288" s="24"/>
      <c r="I288" s="24"/>
      <c r="J288" s="24"/>
      <c r="K288" s="24"/>
      <c r="L288" s="24"/>
      <c r="M288" s="24"/>
      <c r="N288" s="24"/>
      <c r="O288" s="24">
        <v>14097.23</v>
      </c>
      <c r="P288" s="24">
        <v>14097.23</v>
      </c>
      <c r="Q288" s="24"/>
      <c r="R288" s="24"/>
      <c r="S288" s="24"/>
      <c r="T288" s="22"/>
      <c r="U288" s="22"/>
    </row>
    <row r="289" spans="1:24" ht="22.5" hidden="1">
      <c r="A289" s="20"/>
      <c r="B289" s="49" t="s">
        <v>490</v>
      </c>
      <c r="C289" s="130">
        <v>7263704</v>
      </c>
      <c r="D289" s="44">
        <v>32000</v>
      </c>
      <c r="E289" s="24">
        <v>33092</v>
      </c>
      <c r="F289" s="24"/>
      <c r="G289" s="24"/>
      <c r="H289" s="24"/>
      <c r="I289" s="24"/>
      <c r="J289" s="24"/>
      <c r="K289" s="24"/>
      <c r="L289" s="24"/>
      <c r="M289" s="24"/>
      <c r="N289" s="24"/>
      <c r="O289" s="24">
        <v>33092</v>
      </c>
      <c r="P289" s="24"/>
      <c r="Q289" s="24"/>
      <c r="R289" s="24"/>
      <c r="S289" s="24"/>
      <c r="T289" s="22"/>
      <c r="U289" s="22"/>
    </row>
    <row r="290" spans="1:24" ht="22.5" hidden="1">
      <c r="A290" s="20"/>
      <c r="B290" s="49" t="s">
        <v>497</v>
      </c>
      <c r="C290" s="34">
        <v>7463421</v>
      </c>
      <c r="D290" s="44">
        <v>7000</v>
      </c>
      <c r="E290" s="24">
        <v>9926.4509999999991</v>
      </c>
      <c r="F290" s="24"/>
      <c r="G290" s="24"/>
      <c r="H290" s="24"/>
      <c r="I290" s="24"/>
      <c r="J290" s="24"/>
      <c r="K290" s="24"/>
      <c r="L290" s="24"/>
      <c r="M290" s="24"/>
      <c r="N290" s="24"/>
      <c r="O290" s="24">
        <v>9926.4509999999991</v>
      </c>
      <c r="P290" s="24"/>
      <c r="Q290" s="24"/>
      <c r="R290" s="24"/>
      <c r="S290" s="24"/>
      <c r="T290" s="22"/>
      <c r="U290" s="22"/>
    </row>
    <row r="291" spans="1:24" ht="45" hidden="1" customHeight="1">
      <c r="A291" s="20"/>
      <c r="B291" s="131" t="s">
        <v>498</v>
      </c>
      <c r="C291" s="132">
        <v>7609489</v>
      </c>
      <c r="D291" s="44">
        <v>8833.9150000000009</v>
      </c>
      <c r="E291" s="24">
        <v>9020.4760000000006</v>
      </c>
      <c r="F291" s="24"/>
      <c r="G291" s="24"/>
      <c r="H291" s="24"/>
      <c r="I291" s="24"/>
      <c r="J291" s="24"/>
      <c r="K291" s="24"/>
      <c r="L291" s="24"/>
      <c r="M291" s="24"/>
      <c r="N291" s="24"/>
      <c r="O291" s="24">
        <v>9020.4760000000006</v>
      </c>
      <c r="P291" s="24"/>
      <c r="Q291" s="24"/>
      <c r="R291" s="24"/>
      <c r="S291" s="24"/>
      <c r="T291" s="22"/>
      <c r="U291" s="22"/>
      <c r="V291" s="477"/>
    </row>
    <row r="292" spans="1:24" ht="33.75" hidden="1">
      <c r="A292" s="20"/>
      <c r="B292" s="102" t="s">
        <v>499</v>
      </c>
      <c r="C292" s="132">
        <v>7609487</v>
      </c>
      <c r="D292" s="44">
        <v>1000</v>
      </c>
      <c r="E292" s="24">
        <v>1000</v>
      </c>
      <c r="F292" s="24"/>
      <c r="G292" s="24"/>
      <c r="H292" s="24"/>
      <c r="I292" s="24"/>
      <c r="J292" s="24"/>
      <c r="K292" s="24"/>
      <c r="L292" s="24"/>
      <c r="M292" s="24"/>
      <c r="N292" s="24"/>
      <c r="O292" s="24">
        <v>1000</v>
      </c>
      <c r="P292" s="24"/>
      <c r="Q292" s="24"/>
      <c r="R292" s="24"/>
      <c r="S292" s="24"/>
      <c r="T292" s="22"/>
      <c r="U292" s="22"/>
    </row>
    <row r="293" spans="1:24" ht="27.75" hidden="1" customHeight="1">
      <c r="A293" s="20"/>
      <c r="B293" s="49" t="s">
        <v>500</v>
      </c>
      <c r="C293" s="34">
        <v>7527652</v>
      </c>
      <c r="D293" s="44">
        <v>500</v>
      </c>
      <c r="E293" s="24">
        <v>549.6</v>
      </c>
      <c r="F293" s="24"/>
      <c r="G293" s="24"/>
      <c r="H293" s="24"/>
      <c r="I293" s="24"/>
      <c r="J293" s="24"/>
      <c r="K293" s="24"/>
      <c r="L293" s="24"/>
      <c r="M293" s="24"/>
      <c r="N293" s="24"/>
      <c r="O293" s="24">
        <v>549.6</v>
      </c>
      <c r="P293" s="24">
        <v>549.6</v>
      </c>
      <c r="Q293" s="24"/>
      <c r="R293" s="24"/>
      <c r="S293" s="24"/>
      <c r="T293" s="22"/>
      <c r="U293" s="22"/>
      <c r="V293" s="477"/>
    </row>
    <row r="294" spans="1:24" ht="33.75" hidden="1">
      <c r="A294" s="20"/>
      <c r="B294" s="49" t="s">
        <v>501</v>
      </c>
      <c r="C294" s="34">
        <v>7539165</v>
      </c>
      <c r="D294" s="44">
        <v>366.08499999999998</v>
      </c>
      <c r="E294" s="24">
        <v>366.08499999999998</v>
      </c>
      <c r="F294" s="24"/>
      <c r="G294" s="24"/>
      <c r="H294" s="24"/>
      <c r="I294" s="24"/>
      <c r="J294" s="24"/>
      <c r="K294" s="24"/>
      <c r="L294" s="24"/>
      <c r="M294" s="24"/>
      <c r="N294" s="24"/>
      <c r="O294" s="24">
        <v>366.08499999999998</v>
      </c>
      <c r="P294" s="24">
        <v>366.08499999999998</v>
      </c>
      <c r="Q294" s="24"/>
      <c r="R294" s="24"/>
      <c r="S294" s="24"/>
      <c r="T294" s="22"/>
      <c r="U294" s="22"/>
    </row>
    <row r="295" spans="1:24" ht="30.75" hidden="1" customHeight="1">
      <c r="A295" s="20"/>
      <c r="B295" s="49" t="s">
        <v>502</v>
      </c>
      <c r="C295" s="34">
        <v>7539149</v>
      </c>
      <c r="D295" s="71">
        <v>24700</v>
      </c>
      <c r="E295" s="24">
        <v>22519.741999999998</v>
      </c>
      <c r="F295" s="24"/>
      <c r="G295" s="24"/>
      <c r="H295" s="24"/>
      <c r="I295" s="24"/>
      <c r="J295" s="24"/>
      <c r="K295" s="24">
        <v>22519.741999999998</v>
      </c>
      <c r="L295" s="24"/>
      <c r="M295" s="24"/>
      <c r="N295" s="24"/>
      <c r="O295" s="24"/>
      <c r="P295" s="24"/>
      <c r="Q295" s="24"/>
      <c r="R295" s="24"/>
      <c r="S295" s="24"/>
      <c r="T295" s="22"/>
      <c r="U295" s="22"/>
      <c r="V295" s="1197"/>
      <c r="W295" s="1197"/>
      <c r="X295" s="1197"/>
    </row>
    <row r="296" spans="1:24" ht="22.5" hidden="1">
      <c r="A296" s="20"/>
      <c r="B296" s="49" t="s">
        <v>503</v>
      </c>
      <c r="C296" s="34">
        <v>7659324</v>
      </c>
      <c r="D296" s="71"/>
      <c r="E296" s="24">
        <v>57</v>
      </c>
      <c r="F296" s="24"/>
      <c r="G296" s="24"/>
      <c r="H296" s="24"/>
      <c r="I296" s="24"/>
      <c r="J296" s="24"/>
      <c r="K296" s="24"/>
      <c r="L296" s="24"/>
      <c r="M296" s="24"/>
      <c r="N296" s="24"/>
      <c r="O296" s="24">
        <v>57</v>
      </c>
      <c r="P296" s="24"/>
      <c r="Q296" s="24"/>
      <c r="R296" s="24"/>
      <c r="S296" s="24"/>
      <c r="T296" s="22"/>
      <c r="U296" s="22"/>
    </row>
    <row r="297" spans="1:24" ht="45" hidden="1">
      <c r="A297" s="20"/>
      <c r="B297" s="33" t="s">
        <v>504</v>
      </c>
      <c r="C297" s="34">
        <v>7665046</v>
      </c>
      <c r="D297" s="71">
        <v>3382.8</v>
      </c>
      <c r="E297" s="24"/>
      <c r="F297" s="24"/>
      <c r="G297" s="24"/>
      <c r="H297" s="24"/>
      <c r="I297" s="24"/>
      <c r="J297" s="24"/>
      <c r="K297" s="24"/>
      <c r="L297" s="24"/>
      <c r="M297" s="24"/>
      <c r="N297" s="24"/>
      <c r="O297" s="24"/>
      <c r="P297" s="24"/>
      <c r="Q297" s="24"/>
      <c r="R297" s="24"/>
      <c r="S297" s="24"/>
      <c r="T297" s="22"/>
      <c r="U297" s="22"/>
    </row>
    <row r="298" spans="1:24" s="46" customFormat="1" hidden="1">
      <c r="A298" s="37"/>
      <c r="B298" s="74" t="s">
        <v>286</v>
      </c>
      <c r="C298" s="129"/>
      <c r="D298" s="30">
        <v>0</v>
      </c>
      <c r="E298" s="480">
        <v>30826.795999999998</v>
      </c>
      <c r="F298" s="480">
        <v>0</v>
      </c>
      <c r="G298" s="480">
        <v>0</v>
      </c>
      <c r="H298" s="480">
        <v>0</v>
      </c>
      <c r="I298" s="480">
        <v>0</v>
      </c>
      <c r="J298" s="480">
        <v>0</v>
      </c>
      <c r="K298" s="480">
        <v>0</v>
      </c>
      <c r="L298" s="480">
        <v>0</v>
      </c>
      <c r="M298" s="480">
        <v>0</v>
      </c>
      <c r="N298" s="480">
        <v>0</v>
      </c>
      <c r="O298" s="480">
        <v>30826.795999999998</v>
      </c>
      <c r="P298" s="480">
        <v>0</v>
      </c>
      <c r="Q298" s="480">
        <v>0</v>
      </c>
      <c r="R298" s="480">
        <v>0</v>
      </c>
      <c r="S298" s="480">
        <v>0</v>
      </c>
      <c r="T298" s="30">
        <v>0</v>
      </c>
      <c r="U298" s="39"/>
    </row>
    <row r="299" spans="1:24" ht="22.5" hidden="1">
      <c r="A299" s="20"/>
      <c r="B299" s="33" t="s">
        <v>505</v>
      </c>
      <c r="C299" s="51" t="s">
        <v>506</v>
      </c>
      <c r="D299" s="133"/>
      <c r="E299" s="24">
        <v>30826.795999999998</v>
      </c>
      <c r="F299" s="24"/>
      <c r="G299" s="24"/>
      <c r="H299" s="24"/>
      <c r="I299" s="24"/>
      <c r="J299" s="24"/>
      <c r="K299" s="24"/>
      <c r="L299" s="24"/>
      <c r="M299" s="24"/>
      <c r="N299" s="24"/>
      <c r="O299" s="24">
        <v>30826.795999999998</v>
      </c>
      <c r="P299" s="24"/>
      <c r="Q299" s="24"/>
      <c r="R299" s="24"/>
      <c r="S299" s="24"/>
      <c r="T299" s="22"/>
      <c r="U299" s="22"/>
    </row>
    <row r="300" spans="1:24" s="46" customFormat="1" hidden="1">
      <c r="A300" s="37"/>
      <c r="B300" s="38" t="s">
        <v>282</v>
      </c>
      <c r="C300" s="38"/>
      <c r="D300" s="39">
        <v>0</v>
      </c>
      <c r="E300" s="61">
        <v>5575.2139999999999</v>
      </c>
      <c r="F300" s="61">
        <v>0</v>
      </c>
      <c r="G300" s="61">
        <v>0</v>
      </c>
      <c r="H300" s="61">
        <v>0</v>
      </c>
      <c r="I300" s="61">
        <v>0</v>
      </c>
      <c r="J300" s="61">
        <v>0</v>
      </c>
      <c r="K300" s="61">
        <v>0</v>
      </c>
      <c r="L300" s="61">
        <v>0</v>
      </c>
      <c r="M300" s="61">
        <v>0</v>
      </c>
      <c r="N300" s="61">
        <v>0</v>
      </c>
      <c r="O300" s="61">
        <v>5575.2139999999999</v>
      </c>
      <c r="P300" s="61">
        <v>0</v>
      </c>
      <c r="Q300" s="61">
        <v>0</v>
      </c>
      <c r="R300" s="61">
        <v>0</v>
      </c>
      <c r="S300" s="61">
        <v>0</v>
      </c>
      <c r="T300" s="39">
        <v>0</v>
      </c>
      <c r="U300" s="39"/>
    </row>
    <row r="301" spans="1:24" ht="22.5" hidden="1">
      <c r="A301" s="20"/>
      <c r="B301" s="33" t="s">
        <v>507</v>
      </c>
      <c r="C301" s="34">
        <v>7626857</v>
      </c>
      <c r="D301" s="22"/>
      <c r="E301" s="24">
        <v>5575.2139999999999</v>
      </c>
      <c r="F301" s="24"/>
      <c r="G301" s="24"/>
      <c r="H301" s="24"/>
      <c r="I301" s="24"/>
      <c r="J301" s="24"/>
      <c r="K301" s="24"/>
      <c r="L301" s="24"/>
      <c r="M301" s="24"/>
      <c r="N301" s="24"/>
      <c r="O301" s="24">
        <v>5575.2139999999999</v>
      </c>
      <c r="P301" s="24"/>
      <c r="Q301" s="24"/>
      <c r="R301" s="24"/>
      <c r="S301" s="24"/>
      <c r="T301" s="22"/>
      <c r="U301" s="22"/>
    </row>
    <row r="302" spans="1:24" s="41" customFormat="1">
      <c r="A302" s="99"/>
      <c r="B302" s="92" t="s">
        <v>287</v>
      </c>
      <c r="C302" s="92"/>
      <c r="D302" s="93">
        <v>0</v>
      </c>
      <c r="E302" s="489">
        <v>575.94899999999996</v>
      </c>
      <c r="F302" s="489">
        <v>0</v>
      </c>
      <c r="G302" s="489">
        <v>0</v>
      </c>
      <c r="H302" s="489">
        <v>0</v>
      </c>
      <c r="I302" s="489">
        <v>0</v>
      </c>
      <c r="J302" s="489">
        <v>0</v>
      </c>
      <c r="K302" s="489">
        <v>0</v>
      </c>
      <c r="L302" s="489">
        <v>0</v>
      </c>
      <c r="M302" s="489">
        <v>0</v>
      </c>
      <c r="N302" s="489">
        <v>0</v>
      </c>
      <c r="O302" s="489">
        <v>575.94899999999996</v>
      </c>
      <c r="P302" s="489">
        <v>0</v>
      </c>
      <c r="Q302" s="489">
        <v>0</v>
      </c>
      <c r="R302" s="489">
        <v>0</v>
      </c>
      <c r="S302" s="489">
        <v>0</v>
      </c>
      <c r="T302" s="93">
        <v>0</v>
      </c>
      <c r="U302" s="93"/>
    </row>
    <row r="303" spans="1:24" ht="67.5" hidden="1">
      <c r="A303" s="20"/>
      <c r="B303" s="33" t="s">
        <v>508</v>
      </c>
      <c r="C303" s="34">
        <v>7531986</v>
      </c>
      <c r="D303" s="22"/>
      <c r="E303" s="24">
        <v>575.94899999999996</v>
      </c>
      <c r="F303" s="24"/>
      <c r="G303" s="24"/>
      <c r="H303" s="24"/>
      <c r="I303" s="24"/>
      <c r="J303" s="24"/>
      <c r="K303" s="24"/>
      <c r="L303" s="24"/>
      <c r="M303" s="24"/>
      <c r="N303" s="24"/>
      <c r="O303" s="24">
        <v>575.94899999999996</v>
      </c>
      <c r="P303" s="24"/>
      <c r="Q303" s="24"/>
      <c r="R303" s="24"/>
      <c r="S303" s="24"/>
      <c r="T303" s="22"/>
      <c r="U303" s="22"/>
    </row>
    <row r="304" spans="1:24" s="27" customFormat="1" ht="10.5">
      <c r="A304" s="243">
        <v>27</v>
      </c>
      <c r="B304" s="18" t="s">
        <v>509</v>
      </c>
      <c r="C304" s="18"/>
      <c r="D304" s="19">
        <v>0</v>
      </c>
      <c r="E304" s="124">
        <v>3045.703</v>
      </c>
      <c r="F304" s="124">
        <v>0</v>
      </c>
      <c r="G304" s="124">
        <v>0</v>
      </c>
      <c r="H304" s="124">
        <v>0</v>
      </c>
      <c r="I304" s="124">
        <v>0</v>
      </c>
      <c r="J304" s="124">
        <v>0</v>
      </c>
      <c r="K304" s="124">
        <v>0</v>
      </c>
      <c r="L304" s="124">
        <v>0</v>
      </c>
      <c r="M304" s="124">
        <v>0</v>
      </c>
      <c r="N304" s="124">
        <v>0</v>
      </c>
      <c r="O304" s="124">
        <v>3000</v>
      </c>
      <c r="P304" s="124">
        <v>0</v>
      </c>
      <c r="Q304" s="124">
        <v>0</v>
      </c>
      <c r="R304" s="124">
        <v>45.703000000000003</v>
      </c>
      <c r="S304" s="124">
        <v>0</v>
      </c>
      <c r="T304" s="19">
        <v>0</v>
      </c>
      <c r="U304" s="19"/>
    </row>
    <row r="305" spans="1:21" s="46" customFormat="1" ht="22.5" hidden="1">
      <c r="A305" s="37"/>
      <c r="B305" s="38" t="s">
        <v>279</v>
      </c>
      <c r="C305" s="38"/>
      <c r="D305" s="39">
        <v>0</v>
      </c>
      <c r="E305" s="61">
        <v>3045.703</v>
      </c>
      <c r="F305" s="61">
        <v>0</v>
      </c>
      <c r="G305" s="61">
        <v>0</v>
      </c>
      <c r="H305" s="61">
        <v>0</v>
      </c>
      <c r="I305" s="61">
        <v>0</v>
      </c>
      <c r="J305" s="61">
        <v>0</v>
      </c>
      <c r="K305" s="61">
        <v>0</v>
      </c>
      <c r="L305" s="61">
        <v>0</v>
      </c>
      <c r="M305" s="61">
        <v>0</v>
      </c>
      <c r="N305" s="61">
        <v>0</v>
      </c>
      <c r="O305" s="61">
        <v>3000</v>
      </c>
      <c r="P305" s="61">
        <v>0</v>
      </c>
      <c r="Q305" s="61">
        <v>0</v>
      </c>
      <c r="R305" s="61">
        <v>45.703000000000003</v>
      </c>
      <c r="S305" s="61">
        <v>0</v>
      </c>
      <c r="T305" s="39">
        <v>0</v>
      </c>
      <c r="U305" s="39"/>
    </row>
    <row r="306" spans="1:21" ht="45" hidden="1">
      <c r="A306" s="20"/>
      <c r="B306" s="33" t="s">
        <v>510</v>
      </c>
      <c r="C306" s="34">
        <v>7565996</v>
      </c>
      <c r="D306" s="44"/>
      <c r="E306" s="24">
        <v>3000</v>
      </c>
      <c r="F306" s="24"/>
      <c r="G306" s="24"/>
      <c r="H306" s="24"/>
      <c r="I306" s="24"/>
      <c r="J306" s="24"/>
      <c r="K306" s="24"/>
      <c r="L306" s="24"/>
      <c r="M306" s="24"/>
      <c r="N306" s="24"/>
      <c r="O306" s="24">
        <v>3000</v>
      </c>
      <c r="P306" s="24"/>
      <c r="Q306" s="24"/>
      <c r="R306" s="24"/>
      <c r="S306" s="24"/>
      <c r="T306" s="22"/>
      <c r="U306" s="22"/>
    </row>
    <row r="307" spans="1:21" ht="22.5" hidden="1">
      <c r="A307" s="20"/>
      <c r="B307" s="33" t="s">
        <v>511</v>
      </c>
      <c r="C307" s="34">
        <v>7663964</v>
      </c>
      <c r="D307" s="44"/>
      <c r="E307" s="24">
        <v>45.703000000000003</v>
      </c>
      <c r="F307" s="24"/>
      <c r="G307" s="24"/>
      <c r="H307" s="24"/>
      <c r="I307" s="24"/>
      <c r="J307" s="24"/>
      <c r="K307" s="24"/>
      <c r="L307" s="24"/>
      <c r="M307" s="24"/>
      <c r="N307" s="24"/>
      <c r="O307" s="24"/>
      <c r="P307" s="24"/>
      <c r="Q307" s="24"/>
      <c r="R307" s="24">
        <v>45.703000000000003</v>
      </c>
      <c r="S307" s="24"/>
      <c r="T307" s="22"/>
      <c r="U307" s="22"/>
    </row>
    <row r="308" spans="1:21" s="27" customFormat="1" ht="10.5">
      <c r="A308" s="243">
        <v>28</v>
      </c>
      <c r="B308" s="18" t="s">
        <v>512</v>
      </c>
      <c r="C308" s="18"/>
      <c r="D308" s="19">
        <v>900</v>
      </c>
      <c r="E308" s="124">
        <v>900</v>
      </c>
      <c r="F308" s="124">
        <v>0</v>
      </c>
      <c r="G308" s="124">
        <v>0</v>
      </c>
      <c r="H308" s="124">
        <v>0</v>
      </c>
      <c r="I308" s="124">
        <v>0</v>
      </c>
      <c r="J308" s="124">
        <v>0</v>
      </c>
      <c r="K308" s="124">
        <v>0</v>
      </c>
      <c r="L308" s="124">
        <v>0</v>
      </c>
      <c r="M308" s="124">
        <v>0</v>
      </c>
      <c r="N308" s="124">
        <v>0</v>
      </c>
      <c r="O308" s="124">
        <v>0</v>
      </c>
      <c r="P308" s="124">
        <v>0</v>
      </c>
      <c r="Q308" s="124">
        <v>0</v>
      </c>
      <c r="R308" s="124">
        <v>900</v>
      </c>
      <c r="S308" s="124">
        <v>0</v>
      </c>
      <c r="T308" s="19">
        <v>0</v>
      </c>
      <c r="U308" s="19"/>
    </row>
    <row r="309" spans="1:21" s="46" customFormat="1" hidden="1">
      <c r="A309" s="37"/>
      <c r="B309" s="38" t="s">
        <v>294</v>
      </c>
      <c r="C309" s="38"/>
      <c r="D309" s="39">
        <v>900</v>
      </c>
      <c r="E309" s="61">
        <v>900</v>
      </c>
      <c r="F309" s="61">
        <v>0</v>
      </c>
      <c r="G309" s="61">
        <v>0</v>
      </c>
      <c r="H309" s="61">
        <v>0</v>
      </c>
      <c r="I309" s="61">
        <v>0</v>
      </c>
      <c r="J309" s="61">
        <v>0</v>
      </c>
      <c r="K309" s="61">
        <v>0</v>
      </c>
      <c r="L309" s="61">
        <v>0</v>
      </c>
      <c r="M309" s="61">
        <v>0</v>
      </c>
      <c r="N309" s="61">
        <v>0</v>
      </c>
      <c r="O309" s="61">
        <v>0</v>
      </c>
      <c r="P309" s="61">
        <v>0</v>
      </c>
      <c r="Q309" s="61">
        <v>0</v>
      </c>
      <c r="R309" s="61">
        <v>900</v>
      </c>
      <c r="S309" s="61">
        <v>0</v>
      </c>
      <c r="T309" s="39">
        <v>0</v>
      </c>
      <c r="U309" s="39"/>
    </row>
    <row r="310" spans="1:21" ht="22.5" hidden="1">
      <c r="A310" s="20"/>
      <c r="B310" s="67" t="s">
        <v>513</v>
      </c>
      <c r="C310" s="108" t="s">
        <v>514</v>
      </c>
      <c r="D310" s="22">
        <v>900</v>
      </c>
      <c r="E310" s="24">
        <v>900</v>
      </c>
      <c r="F310" s="24"/>
      <c r="G310" s="24"/>
      <c r="H310" s="24"/>
      <c r="I310" s="24"/>
      <c r="J310" s="24"/>
      <c r="K310" s="24"/>
      <c r="L310" s="24"/>
      <c r="M310" s="24"/>
      <c r="N310" s="24"/>
      <c r="O310" s="24"/>
      <c r="P310" s="24"/>
      <c r="Q310" s="24"/>
      <c r="R310" s="24">
        <v>900</v>
      </c>
      <c r="S310" s="24"/>
      <c r="T310" s="22"/>
      <c r="U310" s="22"/>
    </row>
    <row r="311" spans="1:21" s="27" customFormat="1" ht="21">
      <c r="A311" s="243">
        <v>29</v>
      </c>
      <c r="B311" s="72" t="s">
        <v>515</v>
      </c>
      <c r="C311" s="134"/>
      <c r="D311" s="19">
        <v>6096.7370000000001</v>
      </c>
      <c r="E311" s="124">
        <v>7440.8858999999993</v>
      </c>
      <c r="F311" s="124">
        <v>0</v>
      </c>
      <c r="G311" s="124">
        <v>0</v>
      </c>
      <c r="H311" s="124">
        <v>0</v>
      </c>
      <c r="I311" s="124">
        <v>0</v>
      </c>
      <c r="J311" s="124">
        <v>0</v>
      </c>
      <c r="K311" s="124">
        <v>5740.8858999999993</v>
      </c>
      <c r="L311" s="124">
        <v>0</v>
      </c>
      <c r="M311" s="124">
        <v>0</v>
      </c>
      <c r="N311" s="124">
        <v>0</v>
      </c>
      <c r="O311" s="124">
        <v>1700</v>
      </c>
      <c r="P311" s="124">
        <v>1700</v>
      </c>
      <c r="Q311" s="124">
        <v>0</v>
      </c>
      <c r="R311" s="124">
        <v>0</v>
      </c>
      <c r="S311" s="124">
        <v>0</v>
      </c>
      <c r="T311" s="19">
        <v>0</v>
      </c>
      <c r="U311" s="19"/>
    </row>
    <row r="312" spans="1:21" s="46" customFormat="1" hidden="1">
      <c r="A312" s="37"/>
      <c r="B312" s="74" t="s">
        <v>294</v>
      </c>
      <c r="C312" s="116"/>
      <c r="D312" s="39">
        <v>2892.7370000000001</v>
      </c>
      <c r="E312" s="61">
        <v>3239.125</v>
      </c>
      <c r="F312" s="61">
        <v>0</v>
      </c>
      <c r="G312" s="61">
        <v>0</v>
      </c>
      <c r="H312" s="61">
        <v>0</v>
      </c>
      <c r="I312" s="61">
        <v>0</v>
      </c>
      <c r="J312" s="61">
        <v>0</v>
      </c>
      <c r="K312" s="61">
        <v>1539.1249999999998</v>
      </c>
      <c r="L312" s="61">
        <v>0</v>
      </c>
      <c r="M312" s="61">
        <v>0</v>
      </c>
      <c r="N312" s="61">
        <v>0</v>
      </c>
      <c r="O312" s="61">
        <v>1700</v>
      </c>
      <c r="P312" s="61">
        <v>1700</v>
      </c>
      <c r="Q312" s="61">
        <v>0</v>
      </c>
      <c r="R312" s="61">
        <v>0</v>
      </c>
      <c r="S312" s="61">
        <v>0</v>
      </c>
      <c r="T312" s="39">
        <v>0</v>
      </c>
      <c r="U312" s="39"/>
    </row>
    <row r="313" spans="1:21" ht="22.5" hidden="1">
      <c r="A313" s="20"/>
      <c r="B313" s="33" t="s">
        <v>516</v>
      </c>
      <c r="C313" s="34">
        <v>7360509</v>
      </c>
      <c r="D313" s="44">
        <v>52.762999999999998</v>
      </c>
      <c r="E313" s="482">
        <v>52.762999999999998</v>
      </c>
      <c r="F313" s="24"/>
      <c r="G313" s="24"/>
      <c r="H313" s="24"/>
      <c r="I313" s="24"/>
      <c r="J313" s="24"/>
      <c r="K313" s="482">
        <v>52.762999999999998</v>
      </c>
      <c r="L313" s="24"/>
      <c r="M313" s="24"/>
      <c r="N313" s="24"/>
      <c r="O313" s="24"/>
      <c r="P313" s="24"/>
      <c r="Q313" s="24"/>
      <c r="R313" s="24"/>
      <c r="S313" s="24"/>
      <c r="T313" s="22"/>
      <c r="U313" s="22"/>
    </row>
    <row r="314" spans="1:21" ht="33.75" hidden="1">
      <c r="A314" s="20"/>
      <c r="B314" s="33" t="s">
        <v>517</v>
      </c>
      <c r="C314" s="34">
        <v>7327878</v>
      </c>
      <c r="D314" s="22">
        <v>1107.979</v>
      </c>
      <c r="E314" s="482">
        <v>1107.979</v>
      </c>
      <c r="F314" s="24"/>
      <c r="G314" s="24"/>
      <c r="H314" s="24"/>
      <c r="I314" s="24"/>
      <c r="J314" s="24"/>
      <c r="K314" s="482">
        <v>1107.979</v>
      </c>
      <c r="L314" s="24"/>
      <c r="M314" s="24"/>
      <c r="N314" s="24"/>
      <c r="O314" s="24"/>
      <c r="P314" s="24"/>
      <c r="Q314" s="24"/>
      <c r="R314" s="24"/>
      <c r="S314" s="24"/>
      <c r="T314" s="22"/>
      <c r="U314" s="22"/>
    </row>
    <row r="315" spans="1:21" ht="22.5" hidden="1">
      <c r="A315" s="20"/>
      <c r="B315" s="33" t="s">
        <v>518</v>
      </c>
      <c r="C315" s="34">
        <v>7611335</v>
      </c>
      <c r="D315" s="44">
        <v>31.995000000000001</v>
      </c>
      <c r="E315" s="482">
        <v>31.995000000000001</v>
      </c>
      <c r="F315" s="24"/>
      <c r="G315" s="24"/>
      <c r="H315" s="24"/>
      <c r="I315" s="24"/>
      <c r="J315" s="24"/>
      <c r="K315" s="482">
        <v>31.995000000000001</v>
      </c>
      <c r="L315" s="24"/>
      <c r="M315" s="24"/>
      <c r="N315" s="24"/>
      <c r="O315" s="24"/>
      <c r="P315" s="24"/>
      <c r="Q315" s="24"/>
      <c r="R315" s="24"/>
      <c r="S315" s="24"/>
      <c r="T315" s="22"/>
      <c r="U315" s="22"/>
    </row>
    <row r="316" spans="1:21" ht="56.25" hidden="1">
      <c r="A316" s="20"/>
      <c r="B316" s="49" t="s">
        <v>519</v>
      </c>
      <c r="C316" s="88">
        <v>7107066</v>
      </c>
      <c r="D316" s="22">
        <v>1700</v>
      </c>
      <c r="E316" s="24">
        <v>1700</v>
      </c>
      <c r="F316" s="24"/>
      <c r="G316" s="24"/>
      <c r="H316" s="24"/>
      <c r="I316" s="24"/>
      <c r="J316" s="24"/>
      <c r="K316" s="24"/>
      <c r="L316" s="24"/>
      <c r="M316" s="24"/>
      <c r="N316" s="24"/>
      <c r="O316" s="24">
        <v>1700</v>
      </c>
      <c r="P316" s="24">
        <v>1700</v>
      </c>
      <c r="Q316" s="24"/>
      <c r="R316" s="24"/>
      <c r="S316" s="24"/>
      <c r="T316" s="22"/>
      <c r="U316" s="22"/>
    </row>
    <row r="317" spans="1:21" ht="45" hidden="1">
      <c r="A317" s="20"/>
      <c r="B317" s="33" t="s">
        <v>520</v>
      </c>
      <c r="C317" s="34">
        <v>7416894</v>
      </c>
      <c r="D317" s="22"/>
      <c r="E317" s="24">
        <v>346.38799999999998</v>
      </c>
      <c r="F317" s="24"/>
      <c r="G317" s="24"/>
      <c r="H317" s="24"/>
      <c r="I317" s="24"/>
      <c r="J317" s="24"/>
      <c r="K317" s="24">
        <v>346.38799999999998</v>
      </c>
      <c r="L317" s="24"/>
      <c r="M317" s="24"/>
      <c r="N317" s="24"/>
      <c r="O317" s="24"/>
      <c r="P317" s="24"/>
      <c r="Q317" s="24"/>
      <c r="R317" s="24"/>
      <c r="S317" s="24"/>
      <c r="T317" s="22"/>
      <c r="U317" s="22"/>
    </row>
    <row r="318" spans="1:21" s="46" customFormat="1" hidden="1">
      <c r="A318" s="37"/>
      <c r="B318" s="74" t="s">
        <v>281</v>
      </c>
      <c r="C318" s="116"/>
      <c r="D318" s="39">
        <v>0</v>
      </c>
      <c r="E318" s="61">
        <v>613.84699999999998</v>
      </c>
      <c r="F318" s="61">
        <v>0</v>
      </c>
      <c r="G318" s="61">
        <v>0</v>
      </c>
      <c r="H318" s="61">
        <v>0</v>
      </c>
      <c r="I318" s="61">
        <v>0</v>
      </c>
      <c r="J318" s="61">
        <v>0</v>
      </c>
      <c r="K318" s="61">
        <v>613.84699999999998</v>
      </c>
      <c r="L318" s="61">
        <v>0</v>
      </c>
      <c r="M318" s="61">
        <v>0</v>
      </c>
      <c r="N318" s="61">
        <v>0</v>
      </c>
      <c r="O318" s="61">
        <v>0</v>
      </c>
      <c r="P318" s="61">
        <v>0</v>
      </c>
      <c r="Q318" s="61">
        <v>0</v>
      </c>
      <c r="R318" s="61">
        <v>0</v>
      </c>
      <c r="S318" s="61">
        <v>0</v>
      </c>
      <c r="T318" s="39">
        <v>0</v>
      </c>
      <c r="U318" s="39"/>
    </row>
    <row r="319" spans="1:21" ht="45" hidden="1">
      <c r="A319" s="20"/>
      <c r="B319" s="33" t="s">
        <v>521</v>
      </c>
      <c r="C319" s="34">
        <v>7416894</v>
      </c>
      <c r="D319" s="22"/>
      <c r="E319" s="24">
        <v>154.68600000000001</v>
      </c>
      <c r="F319" s="24"/>
      <c r="G319" s="24"/>
      <c r="H319" s="24"/>
      <c r="I319" s="24"/>
      <c r="J319" s="24"/>
      <c r="K319" s="24">
        <v>154.68600000000001</v>
      </c>
      <c r="L319" s="24"/>
      <c r="M319" s="24"/>
      <c r="N319" s="24"/>
      <c r="O319" s="24"/>
      <c r="P319" s="24"/>
      <c r="Q319" s="24"/>
      <c r="R319" s="24"/>
      <c r="S319" s="24"/>
      <c r="T319" s="22"/>
      <c r="U319" s="22"/>
    </row>
    <row r="320" spans="1:21" ht="33.75" hidden="1">
      <c r="A320" s="20"/>
      <c r="B320" s="33" t="s">
        <v>522</v>
      </c>
      <c r="C320" s="34">
        <v>7425456</v>
      </c>
      <c r="D320" s="22"/>
      <c r="E320" s="24">
        <v>459.161</v>
      </c>
      <c r="F320" s="24"/>
      <c r="G320" s="24"/>
      <c r="H320" s="24"/>
      <c r="I320" s="24"/>
      <c r="J320" s="24"/>
      <c r="K320" s="24">
        <v>459.161</v>
      </c>
      <c r="L320" s="24"/>
      <c r="M320" s="24"/>
      <c r="N320" s="24"/>
      <c r="O320" s="24"/>
      <c r="P320" s="24"/>
      <c r="Q320" s="24"/>
      <c r="R320" s="24"/>
      <c r="S320" s="24"/>
      <c r="T320" s="22"/>
      <c r="U320" s="22"/>
    </row>
    <row r="321" spans="1:21" s="46" customFormat="1" hidden="1">
      <c r="A321" s="37"/>
      <c r="B321" s="74" t="s">
        <v>283</v>
      </c>
      <c r="C321" s="116"/>
      <c r="D321" s="39">
        <v>3204</v>
      </c>
      <c r="E321" s="61">
        <v>3587.9139</v>
      </c>
      <c r="F321" s="61">
        <v>0</v>
      </c>
      <c r="G321" s="61">
        <v>0</v>
      </c>
      <c r="H321" s="61">
        <v>0</v>
      </c>
      <c r="I321" s="61">
        <v>0</v>
      </c>
      <c r="J321" s="61">
        <v>0</v>
      </c>
      <c r="K321" s="61">
        <v>3587.9139</v>
      </c>
      <c r="L321" s="61">
        <v>0</v>
      </c>
      <c r="M321" s="61">
        <v>0</v>
      </c>
      <c r="N321" s="61">
        <v>0</v>
      </c>
      <c r="O321" s="61">
        <v>0</v>
      </c>
      <c r="P321" s="61">
        <v>0</v>
      </c>
      <c r="Q321" s="61">
        <v>0</v>
      </c>
      <c r="R321" s="61">
        <v>0</v>
      </c>
      <c r="S321" s="61">
        <v>0</v>
      </c>
      <c r="T321" s="39">
        <v>0</v>
      </c>
      <c r="U321" s="39"/>
    </row>
    <row r="322" spans="1:21" ht="22.5" hidden="1">
      <c r="A322" s="20"/>
      <c r="B322" s="135" t="s">
        <v>523</v>
      </c>
      <c r="C322" s="50">
        <v>7423225</v>
      </c>
      <c r="D322" s="44">
        <v>3204</v>
      </c>
      <c r="E322" s="24">
        <v>3124.2159000000001</v>
      </c>
      <c r="F322" s="24"/>
      <c r="G322" s="24"/>
      <c r="H322" s="24"/>
      <c r="I322" s="24"/>
      <c r="J322" s="24"/>
      <c r="K322" s="24">
        <v>3124.2159000000001</v>
      </c>
      <c r="L322" s="24"/>
      <c r="M322" s="24"/>
      <c r="N322" s="24"/>
      <c r="O322" s="24"/>
      <c r="P322" s="24"/>
      <c r="Q322" s="24"/>
      <c r="R322" s="24"/>
      <c r="S322" s="24"/>
      <c r="T322" s="22"/>
      <c r="U322" s="22"/>
    </row>
    <row r="323" spans="1:21" ht="33.75" hidden="1">
      <c r="A323" s="20"/>
      <c r="B323" s="33" t="s">
        <v>524</v>
      </c>
      <c r="C323" s="34">
        <v>7020296</v>
      </c>
      <c r="D323" s="22"/>
      <c r="E323" s="24">
        <v>463.69799999999998</v>
      </c>
      <c r="F323" s="24"/>
      <c r="G323" s="24"/>
      <c r="H323" s="24"/>
      <c r="I323" s="24"/>
      <c r="J323" s="24"/>
      <c r="K323" s="24">
        <v>463.69799999999998</v>
      </c>
      <c r="L323" s="24"/>
      <c r="M323" s="24"/>
      <c r="N323" s="24"/>
      <c r="O323" s="24"/>
      <c r="P323" s="24"/>
      <c r="Q323" s="24"/>
      <c r="R323" s="24"/>
      <c r="S323" s="24"/>
      <c r="T323" s="22"/>
      <c r="U323" s="22"/>
    </row>
    <row r="324" spans="1:21" s="27" customFormat="1" ht="10.5">
      <c r="A324" s="243">
        <v>30</v>
      </c>
      <c r="B324" s="18" t="s">
        <v>525</v>
      </c>
      <c r="C324" s="18"/>
      <c r="D324" s="19">
        <v>120234.379</v>
      </c>
      <c r="E324" s="124">
        <v>106044.72893500001</v>
      </c>
      <c r="F324" s="124">
        <v>0</v>
      </c>
      <c r="G324" s="124">
        <v>0</v>
      </c>
      <c r="H324" s="124">
        <v>0</v>
      </c>
      <c r="I324" s="124">
        <v>0</v>
      </c>
      <c r="J324" s="124">
        <v>106044.72893500001</v>
      </c>
      <c r="K324" s="124">
        <v>0</v>
      </c>
      <c r="L324" s="124">
        <v>0</v>
      </c>
      <c r="M324" s="124">
        <v>0</v>
      </c>
      <c r="N324" s="124">
        <v>0</v>
      </c>
      <c r="O324" s="124">
        <v>0</v>
      </c>
      <c r="P324" s="124">
        <v>0</v>
      </c>
      <c r="Q324" s="124">
        <v>0</v>
      </c>
      <c r="R324" s="124">
        <v>0</v>
      </c>
      <c r="S324" s="124">
        <v>0</v>
      </c>
      <c r="T324" s="19">
        <v>0</v>
      </c>
      <c r="U324" s="19"/>
    </row>
    <row r="325" spans="1:21" s="41" customFormat="1">
      <c r="A325" s="91" t="s">
        <v>16</v>
      </c>
      <c r="B325" s="92" t="s">
        <v>183</v>
      </c>
      <c r="C325" s="92"/>
      <c r="D325" s="93">
        <v>28925.379000000001</v>
      </c>
      <c r="E325" s="489">
        <v>19842.303841000001</v>
      </c>
      <c r="F325" s="489">
        <v>0</v>
      </c>
      <c r="G325" s="489">
        <v>0</v>
      </c>
      <c r="H325" s="489">
        <v>0</v>
      </c>
      <c r="I325" s="489">
        <v>0</v>
      </c>
      <c r="J325" s="489">
        <v>19842.303841000001</v>
      </c>
      <c r="K325" s="489">
        <v>0</v>
      </c>
      <c r="L325" s="489">
        <v>0</v>
      </c>
      <c r="M325" s="489">
        <v>0</v>
      </c>
      <c r="N325" s="489">
        <v>0</v>
      </c>
      <c r="O325" s="489">
        <v>0</v>
      </c>
      <c r="P325" s="489">
        <v>0</v>
      </c>
      <c r="Q325" s="489">
        <v>0</v>
      </c>
      <c r="R325" s="489">
        <v>0</v>
      </c>
      <c r="S325" s="489">
        <v>0</v>
      </c>
      <c r="T325" s="93">
        <v>0</v>
      </c>
      <c r="U325" s="93"/>
    </row>
    <row r="326" spans="1:21" s="46" customFormat="1" hidden="1">
      <c r="A326" s="37"/>
      <c r="B326" s="38" t="s">
        <v>294</v>
      </c>
      <c r="C326" s="38"/>
      <c r="D326" s="39">
        <v>4402.3789999999999</v>
      </c>
      <c r="E326" s="61">
        <v>4252.3785580000003</v>
      </c>
      <c r="F326" s="61">
        <v>0</v>
      </c>
      <c r="G326" s="61">
        <v>0</v>
      </c>
      <c r="H326" s="61">
        <v>0</v>
      </c>
      <c r="I326" s="61">
        <v>0</v>
      </c>
      <c r="J326" s="61">
        <v>4252.3785580000003</v>
      </c>
      <c r="K326" s="61">
        <v>0</v>
      </c>
      <c r="L326" s="61">
        <v>0</v>
      </c>
      <c r="M326" s="61">
        <v>0</v>
      </c>
      <c r="N326" s="61">
        <v>0</v>
      </c>
      <c r="O326" s="61">
        <v>0</v>
      </c>
      <c r="P326" s="61">
        <v>0</v>
      </c>
      <c r="Q326" s="61">
        <v>0</v>
      </c>
      <c r="R326" s="61">
        <v>0</v>
      </c>
      <c r="S326" s="61">
        <v>0</v>
      </c>
      <c r="T326" s="39">
        <v>0</v>
      </c>
      <c r="U326" s="39"/>
    </row>
    <row r="327" spans="1:21" ht="22.5" hidden="1">
      <c r="A327" s="20"/>
      <c r="B327" s="87" t="s">
        <v>526</v>
      </c>
      <c r="C327" s="88">
        <v>7501842</v>
      </c>
      <c r="D327" s="44">
        <v>2100</v>
      </c>
      <c r="E327" s="24">
        <v>1950</v>
      </c>
      <c r="F327" s="24"/>
      <c r="G327" s="24"/>
      <c r="H327" s="24"/>
      <c r="I327" s="24"/>
      <c r="J327" s="24">
        <v>1950</v>
      </c>
      <c r="K327" s="24"/>
      <c r="L327" s="24"/>
      <c r="M327" s="24"/>
      <c r="N327" s="24"/>
      <c r="O327" s="24"/>
      <c r="P327" s="24"/>
      <c r="Q327" s="24"/>
      <c r="R327" s="24"/>
      <c r="S327" s="24"/>
      <c r="T327" s="22"/>
      <c r="U327" s="22"/>
    </row>
    <row r="328" spans="1:21" ht="33.75" hidden="1">
      <c r="A328" s="20"/>
      <c r="B328" s="136" t="s">
        <v>527</v>
      </c>
      <c r="C328" s="105">
        <v>7613180</v>
      </c>
      <c r="D328" s="44">
        <v>1502.3789999999999</v>
      </c>
      <c r="E328" s="24">
        <v>1502.3785580000001</v>
      </c>
      <c r="F328" s="24"/>
      <c r="G328" s="24"/>
      <c r="H328" s="24"/>
      <c r="I328" s="24"/>
      <c r="J328" s="24">
        <v>1502.3785580000001</v>
      </c>
      <c r="K328" s="24"/>
      <c r="L328" s="24"/>
      <c r="M328" s="24"/>
      <c r="N328" s="24"/>
      <c r="O328" s="24"/>
      <c r="P328" s="24"/>
      <c r="Q328" s="24"/>
      <c r="R328" s="24"/>
      <c r="S328" s="24"/>
      <c r="T328" s="22"/>
      <c r="U328" s="22"/>
    </row>
    <row r="329" spans="1:21" ht="78.75" hidden="1">
      <c r="A329" s="20"/>
      <c r="B329" s="136" t="s">
        <v>528</v>
      </c>
      <c r="C329" s="105" t="s">
        <v>529</v>
      </c>
      <c r="D329" s="44">
        <v>800</v>
      </c>
      <c r="E329" s="24">
        <v>800</v>
      </c>
      <c r="F329" s="24"/>
      <c r="G329" s="24"/>
      <c r="H329" s="24"/>
      <c r="I329" s="24"/>
      <c r="J329" s="24">
        <v>800</v>
      </c>
      <c r="K329" s="24"/>
      <c r="L329" s="24"/>
      <c r="M329" s="24"/>
      <c r="N329" s="24"/>
      <c r="O329" s="24"/>
      <c r="P329" s="24"/>
      <c r="Q329" s="24"/>
      <c r="R329" s="24"/>
      <c r="S329" s="24"/>
      <c r="T329" s="22"/>
      <c r="U329" s="22"/>
    </row>
    <row r="330" spans="1:21" s="46" customFormat="1" hidden="1">
      <c r="A330" s="37"/>
      <c r="B330" s="38" t="s">
        <v>281</v>
      </c>
      <c r="C330" s="38"/>
      <c r="D330" s="39">
        <v>14700</v>
      </c>
      <c r="E330" s="61">
        <v>14277.690026999999</v>
      </c>
      <c r="F330" s="61">
        <v>0</v>
      </c>
      <c r="G330" s="61">
        <v>0</v>
      </c>
      <c r="H330" s="61">
        <v>0</v>
      </c>
      <c r="I330" s="61">
        <v>0</v>
      </c>
      <c r="J330" s="61">
        <v>14277.690026999999</v>
      </c>
      <c r="K330" s="61">
        <v>0</v>
      </c>
      <c r="L330" s="61">
        <v>0</v>
      </c>
      <c r="M330" s="61">
        <v>0</v>
      </c>
      <c r="N330" s="61">
        <v>0</v>
      </c>
      <c r="O330" s="61">
        <v>0</v>
      </c>
      <c r="P330" s="61">
        <v>0</v>
      </c>
      <c r="Q330" s="61">
        <v>0</v>
      </c>
      <c r="R330" s="61">
        <v>0</v>
      </c>
      <c r="S330" s="61">
        <v>0</v>
      </c>
      <c r="T330" s="39">
        <v>0</v>
      </c>
      <c r="U330" s="39"/>
    </row>
    <row r="331" spans="1:21" s="46" customFormat="1" ht="22.5" hidden="1">
      <c r="A331" s="37"/>
      <c r="B331" s="137" t="s">
        <v>530</v>
      </c>
      <c r="C331" s="34">
        <v>7269400</v>
      </c>
      <c r="D331" s="44">
        <v>800</v>
      </c>
      <c r="E331" s="482">
        <v>792.63674400000002</v>
      </c>
      <c r="F331" s="61"/>
      <c r="G331" s="61"/>
      <c r="H331" s="61"/>
      <c r="I331" s="61"/>
      <c r="J331" s="482">
        <v>792.63674400000002</v>
      </c>
      <c r="K331" s="61"/>
      <c r="L331" s="61"/>
      <c r="M331" s="61"/>
      <c r="N331" s="61"/>
      <c r="O331" s="61"/>
      <c r="P331" s="61"/>
      <c r="Q331" s="61"/>
      <c r="R331" s="61"/>
      <c r="S331" s="61"/>
      <c r="T331" s="39"/>
      <c r="U331" s="39"/>
    </row>
    <row r="332" spans="1:21" s="46" customFormat="1" ht="22.5" hidden="1">
      <c r="A332" s="37"/>
      <c r="B332" s="104" t="s">
        <v>526</v>
      </c>
      <c r="C332" s="138">
        <v>7501842</v>
      </c>
      <c r="D332" s="44">
        <v>3200</v>
      </c>
      <c r="E332" s="482">
        <v>3050.51</v>
      </c>
      <c r="F332" s="61"/>
      <c r="G332" s="61"/>
      <c r="H332" s="61"/>
      <c r="I332" s="61"/>
      <c r="J332" s="482">
        <v>3050.51</v>
      </c>
      <c r="K332" s="61"/>
      <c r="L332" s="61"/>
      <c r="M332" s="61"/>
      <c r="N332" s="61"/>
      <c r="O332" s="61"/>
      <c r="P332" s="61"/>
      <c r="Q332" s="61"/>
      <c r="R332" s="61"/>
      <c r="S332" s="61"/>
      <c r="T332" s="39"/>
      <c r="U332" s="39"/>
    </row>
    <row r="333" spans="1:21" s="46" customFormat="1" hidden="1">
      <c r="A333" s="37"/>
      <c r="B333" s="137" t="s">
        <v>531</v>
      </c>
      <c r="C333" s="138">
        <v>7634116</v>
      </c>
      <c r="D333" s="44">
        <v>5000</v>
      </c>
      <c r="E333" s="482">
        <v>1050</v>
      </c>
      <c r="F333" s="61"/>
      <c r="G333" s="61"/>
      <c r="H333" s="61"/>
      <c r="I333" s="61"/>
      <c r="J333" s="482">
        <v>1050</v>
      </c>
      <c r="K333" s="61"/>
      <c r="L333" s="61"/>
      <c r="M333" s="61"/>
      <c r="N333" s="61"/>
      <c r="O333" s="61"/>
      <c r="P333" s="61"/>
      <c r="Q333" s="61"/>
      <c r="R333" s="61"/>
      <c r="S333" s="61"/>
      <c r="T333" s="39"/>
      <c r="U333" s="39"/>
    </row>
    <row r="334" spans="1:21" s="46" customFormat="1" ht="22.5" hidden="1">
      <c r="A334" s="37"/>
      <c r="B334" s="137" t="s">
        <v>532</v>
      </c>
      <c r="C334" s="138">
        <v>7627691</v>
      </c>
      <c r="D334" s="44">
        <v>3200</v>
      </c>
      <c r="E334" s="482">
        <v>2434.3850000000002</v>
      </c>
      <c r="F334" s="61"/>
      <c r="G334" s="61"/>
      <c r="H334" s="61"/>
      <c r="I334" s="61"/>
      <c r="J334" s="482">
        <v>2434.3850000000002</v>
      </c>
      <c r="K334" s="61"/>
      <c r="L334" s="61"/>
      <c r="M334" s="61"/>
      <c r="N334" s="61"/>
      <c r="O334" s="61"/>
      <c r="P334" s="61"/>
      <c r="Q334" s="61"/>
      <c r="R334" s="61"/>
      <c r="S334" s="61"/>
      <c r="T334" s="39"/>
      <c r="U334" s="39"/>
    </row>
    <row r="335" spans="1:21" s="46" customFormat="1" ht="22.5" hidden="1">
      <c r="A335" s="37"/>
      <c r="B335" s="139" t="s">
        <v>533</v>
      </c>
      <c r="C335" s="138">
        <v>7626677</v>
      </c>
      <c r="D335" s="44">
        <v>1500</v>
      </c>
      <c r="E335" s="482">
        <v>1345.0329999999999</v>
      </c>
      <c r="F335" s="61"/>
      <c r="G335" s="61"/>
      <c r="H335" s="61"/>
      <c r="I335" s="61"/>
      <c r="J335" s="482">
        <v>1345.0329999999999</v>
      </c>
      <c r="K335" s="61"/>
      <c r="L335" s="61"/>
      <c r="M335" s="61"/>
      <c r="N335" s="61"/>
      <c r="O335" s="61"/>
      <c r="P335" s="61"/>
      <c r="Q335" s="61"/>
      <c r="R335" s="61"/>
      <c r="S335" s="61"/>
      <c r="T335" s="39"/>
      <c r="U335" s="39"/>
    </row>
    <row r="336" spans="1:21" s="46" customFormat="1" hidden="1">
      <c r="A336" s="37"/>
      <c r="B336" s="139" t="s">
        <v>534</v>
      </c>
      <c r="C336" s="138">
        <v>7623873</v>
      </c>
      <c r="D336" s="44">
        <v>1000</v>
      </c>
      <c r="E336" s="482">
        <v>1000</v>
      </c>
      <c r="F336" s="61"/>
      <c r="G336" s="61"/>
      <c r="H336" s="61"/>
      <c r="I336" s="61"/>
      <c r="J336" s="482">
        <v>1000</v>
      </c>
      <c r="K336" s="61"/>
      <c r="L336" s="61"/>
      <c r="M336" s="61"/>
      <c r="N336" s="61"/>
      <c r="O336" s="61"/>
      <c r="P336" s="61"/>
      <c r="Q336" s="61"/>
      <c r="R336" s="61"/>
      <c r="S336" s="61"/>
      <c r="T336" s="39"/>
      <c r="U336" s="39"/>
    </row>
    <row r="337" spans="1:22" s="46" customFormat="1" ht="33.75" hidden="1" customHeight="1">
      <c r="A337" s="37"/>
      <c r="B337" s="33" t="s">
        <v>535</v>
      </c>
      <c r="C337" s="34">
        <v>7546015</v>
      </c>
      <c r="D337" s="39"/>
      <c r="E337" s="24">
        <v>400</v>
      </c>
      <c r="F337" s="61"/>
      <c r="G337" s="61"/>
      <c r="H337" s="61"/>
      <c r="I337" s="61"/>
      <c r="J337" s="24">
        <v>400</v>
      </c>
      <c r="K337" s="61"/>
      <c r="L337" s="61"/>
      <c r="M337" s="61"/>
      <c r="N337" s="61"/>
      <c r="O337" s="61"/>
      <c r="P337" s="61"/>
      <c r="Q337" s="61"/>
      <c r="R337" s="61"/>
      <c r="S337" s="61"/>
      <c r="T337" s="39"/>
      <c r="U337" s="39"/>
      <c r="V337" s="477"/>
    </row>
    <row r="338" spans="1:22" s="46" customFormat="1" ht="22.5" hidden="1" customHeight="1">
      <c r="A338" s="37"/>
      <c r="B338" s="33" t="s">
        <v>536</v>
      </c>
      <c r="C338" s="34">
        <v>7400468</v>
      </c>
      <c r="D338" s="39"/>
      <c r="E338" s="24">
        <v>387.99099999999999</v>
      </c>
      <c r="F338" s="61"/>
      <c r="G338" s="61"/>
      <c r="H338" s="61"/>
      <c r="I338" s="61"/>
      <c r="J338" s="24">
        <v>387.99099999999999</v>
      </c>
      <c r="K338" s="61"/>
      <c r="L338" s="61"/>
      <c r="M338" s="61"/>
      <c r="N338" s="61"/>
      <c r="O338" s="61"/>
      <c r="P338" s="61"/>
      <c r="Q338" s="61"/>
      <c r="R338" s="61"/>
      <c r="S338" s="61"/>
      <c r="T338" s="39"/>
      <c r="U338" s="39"/>
      <c r="V338" s="477"/>
    </row>
    <row r="339" spans="1:22" ht="33.75" hidden="1" customHeight="1">
      <c r="A339" s="20"/>
      <c r="B339" s="33" t="s">
        <v>537</v>
      </c>
      <c r="C339" s="34">
        <v>7633313</v>
      </c>
      <c r="D339" s="22"/>
      <c r="E339" s="24">
        <v>150</v>
      </c>
      <c r="F339" s="24"/>
      <c r="G339" s="24"/>
      <c r="H339" s="24"/>
      <c r="I339" s="24"/>
      <c r="J339" s="24">
        <v>150</v>
      </c>
      <c r="K339" s="24"/>
      <c r="L339" s="24"/>
      <c r="M339" s="24"/>
      <c r="N339" s="24"/>
      <c r="O339" s="24"/>
      <c r="P339" s="24"/>
      <c r="Q339" s="24"/>
      <c r="R339" s="24"/>
      <c r="S339" s="24"/>
      <c r="T339" s="22"/>
      <c r="U339" s="22"/>
      <c r="V339" s="477"/>
    </row>
    <row r="340" spans="1:22" ht="22.5" hidden="1" customHeight="1">
      <c r="A340" s="20"/>
      <c r="B340" s="33" t="s">
        <v>538</v>
      </c>
      <c r="C340" s="34">
        <v>7252889</v>
      </c>
      <c r="D340" s="22"/>
      <c r="E340" s="24">
        <v>1746.263068</v>
      </c>
      <c r="F340" s="24"/>
      <c r="G340" s="24"/>
      <c r="H340" s="24"/>
      <c r="I340" s="24"/>
      <c r="J340" s="24">
        <v>1746.263068</v>
      </c>
      <c r="K340" s="24"/>
      <c r="L340" s="24"/>
      <c r="M340" s="24"/>
      <c r="N340" s="24"/>
      <c r="O340" s="24"/>
      <c r="P340" s="24"/>
      <c r="Q340" s="24"/>
      <c r="R340" s="24"/>
      <c r="S340" s="24"/>
      <c r="T340" s="22"/>
      <c r="U340" s="22"/>
      <c r="V340" s="477"/>
    </row>
    <row r="341" spans="1:22" ht="22.5" hidden="1">
      <c r="A341" s="20"/>
      <c r="B341" s="78" t="s">
        <v>539</v>
      </c>
      <c r="C341" s="68">
        <v>7506823</v>
      </c>
      <c r="D341" s="22"/>
      <c r="E341" s="24">
        <v>1920.8712149999999</v>
      </c>
      <c r="F341" s="24"/>
      <c r="G341" s="24"/>
      <c r="H341" s="24"/>
      <c r="I341" s="24"/>
      <c r="J341" s="24">
        <v>1920.8712149999999</v>
      </c>
      <c r="K341" s="24"/>
      <c r="L341" s="24"/>
      <c r="M341" s="24"/>
      <c r="N341" s="24"/>
      <c r="O341" s="24"/>
      <c r="P341" s="24"/>
      <c r="Q341" s="24"/>
      <c r="R341" s="24"/>
      <c r="S341" s="24"/>
      <c r="T341" s="22"/>
      <c r="U341" s="22"/>
      <c r="V341" s="242"/>
    </row>
    <row r="342" spans="1:22" s="46" customFormat="1" hidden="1">
      <c r="A342" s="37"/>
      <c r="B342" s="29" t="s">
        <v>283</v>
      </c>
      <c r="C342" s="28"/>
      <c r="D342" s="39">
        <v>9823</v>
      </c>
      <c r="E342" s="61">
        <v>1312.2352559999999</v>
      </c>
      <c r="F342" s="61">
        <v>0</v>
      </c>
      <c r="G342" s="61">
        <v>0</v>
      </c>
      <c r="H342" s="61">
        <v>0</v>
      </c>
      <c r="I342" s="61">
        <v>0</v>
      </c>
      <c r="J342" s="61">
        <v>1312.2352559999999</v>
      </c>
      <c r="K342" s="61">
        <v>0</v>
      </c>
      <c r="L342" s="61">
        <v>0</v>
      </c>
      <c r="M342" s="61">
        <v>0</v>
      </c>
      <c r="N342" s="61">
        <v>0</v>
      </c>
      <c r="O342" s="61">
        <v>0</v>
      </c>
      <c r="P342" s="61">
        <v>0</v>
      </c>
      <c r="Q342" s="61">
        <v>0</v>
      </c>
      <c r="R342" s="61">
        <v>0</v>
      </c>
      <c r="S342" s="61">
        <v>0</v>
      </c>
      <c r="T342" s="39">
        <v>0</v>
      </c>
      <c r="U342" s="39"/>
      <c r="V342" s="128"/>
    </row>
    <row r="343" spans="1:22" ht="22.5" hidden="1">
      <c r="A343" s="20"/>
      <c r="B343" s="75" t="s">
        <v>540</v>
      </c>
      <c r="C343" s="34">
        <v>7271772</v>
      </c>
      <c r="D343" s="22">
        <v>6000</v>
      </c>
      <c r="E343" s="24">
        <v>66.274000000000001</v>
      </c>
      <c r="F343" s="24"/>
      <c r="G343" s="24"/>
      <c r="H343" s="24"/>
      <c r="I343" s="24"/>
      <c r="J343" s="24">
        <v>66.274000000000001</v>
      </c>
      <c r="K343" s="24"/>
      <c r="L343" s="24"/>
      <c r="M343" s="24"/>
      <c r="N343" s="24"/>
      <c r="O343" s="24"/>
      <c r="P343" s="24"/>
      <c r="Q343" s="24"/>
      <c r="R343" s="24"/>
      <c r="S343" s="24"/>
      <c r="T343" s="22"/>
      <c r="U343" s="22"/>
      <c r="V343" s="242"/>
    </row>
    <row r="344" spans="1:22" ht="22.5" hidden="1">
      <c r="A344" s="20"/>
      <c r="B344" s="140" t="s">
        <v>541</v>
      </c>
      <c r="C344" s="34">
        <v>7613180</v>
      </c>
      <c r="D344" s="22">
        <v>3823</v>
      </c>
      <c r="E344" s="24"/>
      <c r="F344" s="24"/>
      <c r="G344" s="24"/>
      <c r="H344" s="24"/>
      <c r="I344" s="24"/>
      <c r="J344" s="24"/>
      <c r="K344" s="24"/>
      <c r="L344" s="24"/>
      <c r="M344" s="24"/>
      <c r="N344" s="24"/>
      <c r="O344" s="24"/>
      <c r="P344" s="24"/>
      <c r="Q344" s="24"/>
      <c r="R344" s="24"/>
      <c r="S344" s="24"/>
      <c r="T344" s="22"/>
      <c r="U344" s="22"/>
      <c r="V344" s="242"/>
    </row>
    <row r="345" spans="1:22" ht="22.5" hidden="1">
      <c r="A345" s="20"/>
      <c r="B345" s="33" t="s">
        <v>542</v>
      </c>
      <c r="C345" s="34">
        <v>7269400</v>
      </c>
      <c r="D345" s="22"/>
      <c r="E345" s="24">
        <v>630.04625599999997</v>
      </c>
      <c r="F345" s="24"/>
      <c r="G345" s="24"/>
      <c r="H345" s="24"/>
      <c r="I345" s="24"/>
      <c r="J345" s="24">
        <v>630.04625599999997</v>
      </c>
      <c r="K345" s="24"/>
      <c r="L345" s="24"/>
      <c r="M345" s="24"/>
      <c r="N345" s="24"/>
      <c r="O345" s="24"/>
      <c r="P345" s="24"/>
      <c r="Q345" s="24"/>
      <c r="R345" s="24"/>
      <c r="S345" s="24"/>
      <c r="T345" s="22"/>
      <c r="U345" s="22"/>
      <c r="V345" s="242"/>
    </row>
    <row r="346" spans="1:22" ht="22.5" hidden="1">
      <c r="A346" s="20"/>
      <c r="B346" s="33" t="s">
        <v>543</v>
      </c>
      <c r="C346" s="34">
        <v>7501842</v>
      </c>
      <c r="D346" s="22"/>
      <c r="E346" s="24">
        <v>615.91499999999996</v>
      </c>
      <c r="F346" s="24"/>
      <c r="G346" s="24"/>
      <c r="H346" s="24"/>
      <c r="I346" s="24"/>
      <c r="J346" s="24">
        <v>615.91499999999996</v>
      </c>
      <c r="K346" s="24"/>
      <c r="L346" s="24"/>
      <c r="M346" s="24"/>
      <c r="N346" s="24"/>
      <c r="O346" s="24"/>
      <c r="P346" s="24"/>
      <c r="Q346" s="24"/>
      <c r="R346" s="24"/>
      <c r="S346" s="24"/>
      <c r="T346" s="22"/>
      <c r="U346" s="22"/>
      <c r="V346" s="242"/>
    </row>
    <row r="347" spans="1:22" s="41" customFormat="1">
      <c r="A347" s="91" t="s">
        <v>16</v>
      </c>
      <c r="B347" s="92" t="s">
        <v>287</v>
      </c>
      <c r="C347" s="92"/>
      <c r="D347" s="93">
        <v>91309</v>
      </c>
      <c r="E347" s="489">
        <v>86202.425094000006</v>
      </c>
      <c r="F347" s="489">
        <v>0</v>
      </c>
      <c r="G347" s="489">
        <v>0</v>
      </c>
      <c r="H347" s="489">
        <v>0</v>
      </c>
      <c r="I347" s="489">
        <v>0</v>
      </c>
      <c r="J347" s="489">
        <v>86202.425094000006</v>
      </c>
      <c r="K347" s="489">
        <v>0</v>
      </c>
      <c r="L347" s="489">
        <v>0</v>
      </c>
      <c r="M347" s="489">
        <v>0</v>
      </c>
      <c r="N347" s="489">
        <v>0</v>
      </c>
      <c r="O347" s="489">
        <v>0</v>
      </c>
      <c r="P347" s="489">
        <v>0</v>
      </c>
      <c r="Q347" s="489">
        <v>0</v>
      </c>
      <c r="R347" s="489">
        <v>0</v>
      </c>
      <c r="S347" s="489">
        <v>0</v>
      </c>
      <c r="T347" s="93">
        <v>0</v>
      </c>
      <c r="U347" s="93"/>
    </row>
    <row r="348" spans="1:22" ht="22.5" hidden="1">
      <c r="A348" s="20"/>
      <c r="B348" s="75" t="s">
        <v>540</v>
      </c>
      <c r="C348" s="34">
        <v>7271772</v>
      </c>
      <c r="D348" s="22">
        <v>2819</v>
      </c>
      <c r="E348" s="24"/>
      <c r="F348" s="24"/>
      <c r="G348" s="24"/>
      <c r="H348" s="24"/>
      <c r="I348" s="24"/>
      <c r="J348" s="24"/>
      <c r="K348" s="24"/>
      <c r="L348" s="24"/>
      <c r="M348" s="24"/>
      <c r="N348" s="24"/>
      <c r="O348" s="24"/>
      <c r="P348" s="24"/>
      <c r="Q348" s="24"/>
      <c r="R348" s="24"/>
      <c r="S348" s="24"/>
      <c r="T348" s="22"/>
      <c r="U348" s="22"/>
    </row>
    <row r="349" spans="1:22" ht="22.5" hidden="1">
      <c r="A349" s="20"/>
      <c r="B349" s="140" t="s">
        <v>541</v>
      </c>
      <c r="C349" s="34">
        <v>7613180</v>
      </c>
      <c r="D349" s="44">
        <v>79509</v>
      </c>
      <c r="E349" s="24">
        <v>79508.999888000006</v>
      </c>
      <c r="F349" s="24"/>
      <c r="G349" s="24"/>
      <c r="H349" s="24"/>
      <c r="I349" s="24"/>
      <c r="J349" s="24">
        <v>79508.999888000006</v>
      </c>
      <c r="K349" s="24"/>
      <c r="L349" s="24"/>
      <c r="M349" s="24"/>
      <c r="N349" s="24"/>
      <c r="O349" s="24"/>
      <c r="P349" s="24"/>
      <c r="Q349" s="24"/>
      <c r="R349" s="24"/>
      <c r="S349" s="24"/>
      <c r="T349" s="22"/>
      <c r="U349" s="22"/>
    </row>
    <row r="350" spans="1:22" ht="22.5" hidden="1">
      <c r="A350" s="20"/>
      <c r="B350" s="140" t="s">
        <v>544</v>
      </c>
      <c r="C350" s="34">
        <v>7542311</v>
      </c>
      <c r="D350" s="65">
        <v>8981</v>
      </c>
      <c r="E350" s="24">
        <v>6693.4252059999999</v>
      </c>
      <c r="F350" s="24"/>
      <c r="G350" s="24"/>
      <c r="H350" s="24"/>
      <c r="I350" s="24"/>
      <c r="J350" s="24">
        <v>6693.4252059999999</v>
      </c>
      <c r="K350" s="24"/>
      <c r="L350" s="24"/>
      <c r="M350" s="24"/>
      <c r="N350" s="24"/>
      <c r="O350" s="24"/>
      <c r="P350" s="24"/>
      <c r="Q350" s="24"/>
      <c r="R350" s="24"/>
      <c r="S350" s="24"/>
      <c r="T350" s="22"/>
      <c r="U350" s="22"/>
    </row>
    <row r="351" spans="1:22" s="27" customFormat="1" ht="10.5">
      <c r="A351" s="243">
        <v>31</v>
      </c>
      <c r="B351" s="18" t="s">
        <v>545</v>
      </c>
      <c r="C351" s="18"/>
      <c r="D351" s="19">
        <v>1000</v>
      </c>
      <c r="E351" s="124">
        <v>1000</v>
      </c>
      <c r="F351" s="124">
        <v>0</v>
      </c>
      <c r="G351" s="124">
        <v>0</v>
      </c>
      <c r="H351" s="124">
        <v>0</v>
      </c>
      <c r="I351" s="124">
        <v>0</v>
      </c>
      <c r="J351" s="124">
        <v>0</v>
      </c>
      <c r="K351" s="124">
        <v>0</v>
      </c>
      <c r="L351" s="124">
        <v>0</v>
      </c>
      <c r="M351" s="124">
        <v>0</v>
      </c>
      <c r="N351" s="124">
        <v>0</v>
      </c>
      <c r="O351" s="124">
        <v>1000</v>
      </c>
      <c r="P351" s="124">
        <v>0</v>
      </c>
      <c r="Q351" s="124">
        <v>0</v>
      </c>
      <c r="R351" s="124">
        <v>0</v>
      </c>
      <c r="S351" s="124">
        <v>0</v>
      </c>
      <c r="T351" s="19">
        <v>0</v>
      </c>
      <c r="U351" s="19"/>
    </row>
    <row r="352" spans="1:22" s="46" customFormat="1" hidden="1">
      <c r="A352" s="37"/>
      <c r="B352" s="38" t="s">
        <v>294</v>
      </c>
      <c r="C352" s="38"/>
      <c r="D352" s="39">
        <v>1000</v>
      </c>
      <c r="E352" s="61">
        <v>1000</v>
      </c>
      <c r="F352" s="61">
        <v>0</v>
      </c>
      <c r="G352" s="61">
        <v>0</v>
      </c>
      <c r="H352" s="61">
        <v>0</v>
      </c>
      <c r="I352" s="61">
        <v>0</v>
      </c>
      <c r="J352" s="61">
        <v>0</v>
      </c>
      <c r="K352" s="61">
        <v>0</v>
      </c>
      <c r="L352" s="61">
        <v>0</v>
      </c>
      <c r="M352" s="61">
        <v>0</v>
      </c>
      <c r="N352" s="61">
        <v>0</v>
      </c>
      <c r="O352" s="61">
        <v>1000</v>
      </c>
      <c r="P352" s="61">
        <v>0</v>
      </c>
      <c r="Q352" s="61">
        <v>0</v>
      </c>
      <c r="R352" s="61">
        <v>0</v>
      </c>
      <c r="S352" s="61">
        <v>0</v>
      </c>
      <c r="T352" s="39">
        <v>0</v>
      </c>
      <c r="U352" s="39"/>
    </row>
    <row r="353" spans="1:21" ht="33.75" hidden="1">
      <c r="A353" s="20"/>
      <c r="B353" s="102" t="s">
        <v>546</v>
      </c>
      <c r="C353" s="88">
        <v>7566282</v>
      </c>
      <c r="D353" s="22">
        <v>1000</v>
      </c>
      <c r="E353" s="24">
        <v>1000</v>
      </c>
      <c r="F353" s="24"/>
      <c r="G353" s="24"/>
      <c r="H353" s="24"/>
      <c r="I353" s="24"/>
      <c r="J353" s="24"/>
      <c r="K353" s="24"/>
      <c r="L353" s="24"/>
      <c r="M353" s="24"/>
      <c r="N353" s="24"/>
      <c r="O353" s="24">
        <v>1000</v>
      </c>
      <c r="P353" s="24"/>
      <c r="Q353" s="24"/>
      <c r="R353" s="24"/>
      <c r="S353" s="24"/>
      <c r="T353" s="22"/>
      <c r="U353" s="22"/>
    </row>
    <row r="354" spans="1:21" s="27" customFormat="1" ht="10.5">
      <c r="A354" s="243">
        <v>32</v>
      </c>
      <c r="B354" s="18" t="s">
        <v>547</v>
      </c>
      <c r="C354" s="18"/>
      <c r="D354" s="19">
        <v>600</v>
      </c>
      <c r="E354" s="124">
        <v>596</v>
      </c>
      <c r="F354" s="124">
        <v>0</v>
      </c>
      <c r="G354" s="124">
        <v>0</v>
      </c>
      <c r="H354" s="124">
        <v>0</v>
      </c>
      <c r="I354" s="124">
        <v>0</v>
      </c>
      <c r="J354" s="124">
        <v>0</v>
      </c>
      <c r="K354" s="124">
        <v>0</v>
      </c>
      <c r="L354" s="124">
        <v>0</v>
      </c>
      <c r="M354" s="124">
        <v>0</v>
      </c>
      <c r="N354" s="124">
        <v>0</v>
      </c>
      <c r="O354" s="124">
        <v>0</v>
      </c>
      <c r="P354" s="124">
        <v>0</v>
      </c>
      <c r="Q354" s="124">
        <v>0</v>
      </c>
      <c r="R354" s="124">
        <v>596</v>
      </c>
      <c r="S354" s="124">
        <v>0</v>
      </c>
      <c r="T354" s="19">
        <v>0</v>
      </c>
      <c r="U354" s="19"/>
    </row>
    <row r="355" spans="1:21" s="46" customFormat="1" hidden="1">
      <c r="A355" s="37"/>
      <c r="B355" s="38" t="s">
        <v>294</v>
      </c>
      <c r="C355" s="38"/>
      <c r="D355" s="39">
        <v>600</v>
      </c>
      <c r="E355" s="61">
        <v>596</v>
      </c>
      <c r="F355" s="61">
        <v>0</v>
      </c>
      <c r="G355" s="61">
        <v>0</v>
      </c>
      <c r="H355" s="61">
        <v>0</v>
      </c>
      <c r="I355" s="61">
        <v>0</v>
      </c>
      <c r="J355" s="61">
        <v>0</v>
      </c>
      <c r="K355" s="61">
        <v>0</v>
      </c>
      <c r="L355" s="61">
        <v>0</v>
      </c>
      <c r="M355" s="61">
        <v>0</v>
      </c>
      <c r="N355" s="61">
        <v>0</v>
      </c>
      <c r="O355" s="61">
        <v>0</v>
      </c>
      <c r="P355" s="61">
        <v>0</v>
      </c>
      <c r="Q355" s="61">
        <v>0</v>
      </c>
      <c r="R355" s="61">
        <v>596</v>
      </c>
      <c r="S355" s="61">
        <v>0</v>
      </c>
      <c r="T355" s="39">
        <v>0</v>
      </c>
      <c r="U355" s="39"/>
    </row>
    <row r="356" spans="1:21" ht="22.5" hidden="1">
      <c r="A356" s="20"/>
      <c r="B356" s="49" t="s">
        <v>548</v>
      </c>
      <c r="C356" s="88">
        <v>7621960</v>
      </c>
      <c r="D356" s="22">
        <v>600</v>
      </c>
      <c r="E356" s="24">
        <v>596</v>
      </c>
      <c r="F356" s="24"/>
      <c r="G356" s="24"/>
      <c r="H356" s="24"/>
      <c r="I356" s="24"/>
      <c r="J356" s="24"/>
      <c r="K356" s="24"/>
      <c r="L356" s="24"/>
      <c r="M356" s="24"/>
      <c r="N356" s="24"/>
      <c r="O356" s="24"/>
      <c r="P356" s="24"/>
      <c r="Q356" s="24"/>
      <c r="R356" s="24">
        <v>596</v>
      </c>
      <c r="S356" s="24"/>
      <c r="T356" s="22"/>
      <c r="U356" s="22"/>
    </row>
    <row r="357" spans="1:21" s="27" customFormat="1" ht="10.5">
      <c r="A357" s="243">
        <v>33</v>
      </c>
      <c r="B357" s="18" t="s">
        <v>549</v>
      </c>
      <c r="C357" s="18"/>
      <c r="D357" s="19">
        <v>3739</v>
      </c>
      <c r="E357" s="124">
        <v>4295.665</v>
      </c>
      <c r="F357" s="124">
        <v>4295.665</v>
      </c>
      <c r="G357" s="124">
        <v>0</v>
      </c>
      <c r="H357" s="124">
        <v>0</v>
      </c>
      <c r="I357" s="124">
        <v>0</v>
      </c>
      <c r="J357" s="124">
        <v>0</v>
      </c>
      <c r="K357" s="124">
        <v>0</v>
      </c>
      <c r="L357" s="124">
        <v>0</v>
      </c>
      <c r="M357" s="124">
        <v>0</v>
      </c>
      <c r="N357" s="124">
        <v>0</v>
      </c>
      <c r="O357" s="124">
        <v>0</v>
      </c>
      <c r="P357" s="124">
        <v>0</v>
      </c>
      <c r="Q357" s="124">
        <v>0</v>
      </c>
      <c r="R357" s="124">
        <v>0</v>
      </c>
      <c r="S357" s="124">
        <v>0</v>
      </c>
      <c r="T357" s="19">
        <v>0</v>
      </c>
      <c r="U357" s="19"/>
    </row>
    <row r="358" spans="1:21" s="46" customFormat="1" hidden="1">
      <c r="A358" s="37"/>
      <c r="B358" s="38" t="s">
        <v>294</v>
      </c>
      <c r="C358" s="38"/>
      <c r="D358" s="39">
        <v>3739</v>
      </c>
      <c r="E358" s="61">
        <v>4295.665</v>
      </c>
      <c r="F358" s="61">
        <v>4295.665</v>
      </c>
      <c r="G358" s="61">
        <v>0</v>
      </c>
      <c r="H358" s="61">
        <v>0</v>
      </c>
      <c r="I358" s="61">
        <v>0</v>
      </c>
      <c r="J358" s="61">
        <v>0</v>
      </c>
      <c r="K358" s="61">
        <v>0</v>
      </c>
      <c r="L358" s="61">
        <v>0</v>
      </c>
      <c r="M358" s="61">
        <v>0</v>
      </c>
      <c r="N358" s="61">
        <v>0</v>
      </c>
      <c r="O358" s="61">
        <v>0</v>
      </c>
      <c r="P358" s="61">
        <v>0</v>
      </c>
      <c r="Q358" s="61">
        <v>0</v>
      </c>
      <c r="R358" s="61">
        <v>0</v>
      </c>
      <c r="S358" s="61">
        <v>0</v>
      </c>
      <c r="T358" s="39">
        <v>0</v>
      </c>
      <c r="U358" s="39"/>
    </row>
    <row r="359" spans="1:21" ht="22.5" hidden="1">
      <c r="A359" s="20"/>
      <c r="B359" s="21" t="s">
        <v>550</v>
      </c>
      <c r="C359" s="47">
        <v>7568095</v>
      </c>
      <c r="D359" s="22">
        <v>3739</v>
      </c>
      <c r="E359" s="482">
        <v>4295.665</v>
      </c>
      <c r="F359" s="24">
        <v>4295.665</v>
      </c>
      <c r="G359" s="24"/>
      <c r="H359" s="24"/>
      <c r="I359" s="24"/>
      <c r="J359" s="24"/>
      <c r="K359" s="24"/>
      <c r="L359" s="24"/>
      <c r="M359" s="24"/>
      <c r="N359" s="24"/>
      <c r="O359" s="24"/>
      <c r="P359" s="24"/>
      <c r="Q359" s="24"/>
      <c r="R359" s="24"/>
      <c r="S359" s="24"/>
      <c r="T359" s="22"/>
      <c r="U359" s="22"/>
    </row>
    <row r="360" spans="1:21" s="27" customFormat="1" ht="10.5">
      <c r="A360" s="243">
        <v>34</v>
      </c>
      <c r="B360" s="18" t="s">
        <v>551</v>
      </c>
      <c r="C360" s="18"/>
      <c r="D360" s="19">
        <v>661</v>
      </c>
      <c r="E360" s="124">
        <v>614.84</v>
      </c>
      <c r="F360" s="124">
        <v>614.84</v>
      </c>
      <c r="G360" s="124">
        <v>0</v>
      </c>
      <c r="H360" s="124">
        <v>0</v>
      </c>
      <c r="I360" s="124">
        <v>0</v>
      </c>
      <c r="J360" s="124">
        <v>0</v>
      </c>
      <c r="K360" s="124">
        <v>0</v>
      </c>
      <c r="L360" s="124">
        <v>0</v>
      </c>
      <c r="M360" s="124">
        <v>0</v>
      </c>
      <c r="N360" s="124">
        <v>0</v>
      </c>
      <c r="O360" s="124">
        <v>0</v>
      </c>
      <c r="P360" s="124">
        <v>0</v>
      </c>
      <c r="Q360" s="124">
        <v>0</v>
      </c>
      <c r="R360" s="124">
        <v>0</v>
      </c>
      <c r="S360" s="124">
        <v>0</v>
      </c>
      <c r="T360" s="19">
        <v>0</v>
      </c>
      <c r="U360" s="19"/>
    </row>
    <row r="361" spans="1:21" s="46" customFormat="1" hidden="1">
      <c r="A361" s="37"/>
      <c r="B361" s="38" t="s">
        <v>294</v>
      </c>
      <c r="C361" s="38"/>
      <c r="D361" s="39">
        <v>661</v>
      </c>
      <c r="E361" s="61">
        <v>614.84</v>
      </c>
      <c r="F361" s="61">
        <v>614.84</v>
      </c>
      <c r="G361" s="61">
        <v>0</v>
      </c>
      <c r="H361" s="61">
        <v>0</v>
      </c>
      <c r="I361" s="61">
        <v>0</v>
      </c>
      <c r="J361" s="61">
        <v>0</v>
      </c>
      <c r="K361" s="61">
        <v>0</v>
      </c>
      <c r="L361" s="61">
        <v>0</v>
      </c>
      <c r="M361" s="61">
        <v>0</v>
      </c>
      <c r="N361" s="61">
        <v>0</v>
      </c>
      <c r="O361" s="61">
        <v>0</v>
      </c>
      <c r="P361" s="61">
        <v>0</v>
      </c>
      <c r="Q361" s="61">
        <v>0</v>
      </c>
      <c r="R361" s="61">
        <v>0</v>
      </c>
      <c r="S361" s="61">
        <v>0</v>
      </c>
      <c r="T361" s="39">
        <v>0</v>
      </c>
      <c r="U361" s="39"/>
    </row>
    <row r="362" spans="1:21" ht="22.5" hidden="1">
      <c r="A362" s="243"/>
      <c r="B362" s="33" t="s">
        <v>552</v>
      </c>
      <c r="C362" s="34">
        <v>7005310</v>
      </c>
      <c r="D362" s="22">
        <v>661</v>
      </c>
      <c r="E362" s="482">
        <v>614.84</v>
      </c>
      <c r="F362" s="24">
        <v>614.84</v>
      </c>
      <c r="G362" s="24"/>
      <c r="H362" s="24"/>
      <c r="I362" s="24"/>
      <c r="J362" s="24"/>
      <c r="K362" s="24"/>
      <c r="L362" s="24"/>
      <c r="M362" s="24"/>
      <c r="N362" s="24"/>
      <c r="O362" s="24"/>
      <c r="P362" s="24"/>
      <c r="Q362" s="24"/>
      <c r="R362" s="24"/>
      <c r="S362" s="24"/>
      <c r="T362" s="22"/>
      <c r="U362" s="22"/>
    </row>
    <row r="363" spans="1:21">
      <c r="A363" s="243">
        <v>35</v>
      </c>
      <c r="B363" s="18" t="s">
        <v>553</v>
      </c>
      <c r="C363" s="18"/>
      <c r="D363" s="19">
        <v>0</v>
      </c>
      <c r="E363" s="124">
        <v>6037.2510000000002</v>
      </c>
      <c r="F363" s="124">
        <v>0</v>
      </c>
      <c r="G363" s="124">
        <v>0</v>
      </c>
      <c r="H363" s="124">
        <v>0</v>
      </c>
      <c r="I363" s="124">
        <v>0</v>
      </c>
      <c r="J363" s="124">
        <v>0</v>
      </c>
      <c r="K363" s="124">
        <v>0</v>
      </c>
      <c r="L363" s="124">
        <v>0</v>
      </c>
      <c r="M363" s="124">
        <v>0</v>
      </c>
      <c r="N363" s="124">
        <v>0</v>
      </c>
      <c r="O363" s="124">
        <v>0</v>
      </c>
      <c r="P363" s="124">
        <v>0</v>
      </c>
      <c r="Q363" s="124">
        <v>0</v>
      </c>
      <c r="R363" s="124">
        <v>6037.2510000000002</v>
      </c>
      <c r="S363" s="124">
        <v>0</v>
      </c>
      <c r="T363" s="19">
        <v>0</v>
      </c>
      <c r="U363" s="22"/>
    </row>
    <row r="364" spans="1:21" s="41" customFormat="1" hidden="1">
      <c r="A364" s="37"/>
      <c r="B364" s="38" t="s">
        <v>282</v>
      </c>
      <c r="C364" s="38"/>
      <c r="D364" s="39">
        <v>0</v>
      </c>
      <c r="E364" s="61">
        <v>6037.2510000000002</v>
      </c>
      <c r="F364" s="61">
        <v>0</v>
      </c>
      <c r="G364" s="61">
        <v>0</v>
      </c>
      <c r="H364" s="61">
        <v>0</v>
      </c>
      <c r="I364" s="61">
        <v>0</v>
      </c>
      <c r="J364" s="61">
        <v>0</v>
      </c>
      <c r="K364" s="61">
        <v>0</v>
      </c>
      <c r="L364" s="61">
        <v>0</v>
      </c>
      <c r="M364" s="61">
        <v>0</v>
      </c>
      <c r="N364" s="61">
        <v>0</v>
      </c>
      <c r="O364" s="61">
        <v>0</v>
      </c>
      <c r="P364" s="61">
        <v>0</v>
      </c>
      <c r="Q364" s="61">
        <v>0</v>
      </c>
      <c r="R364" s="61">
        <v>6037.2510000000002</v>
      </c>
      <c r="S364" s="61">
        <v>0</v>
      </c>
      <c r="T364" s="39">
        <v>0</v>
      </c>
      <c r="U364" s="93"/>
    </row>
    <row r="365" spans="1:21" ht="22.5" hidden="1">
      <c r="A365" s="243"/>
      <c r="B365" s="33" t="s">
        <v>554</v>
      </c>
      <c r="C365" s="34">
        <v>7556616</v>
      </c>
      <c r="D365" s="22"/>
      <c r="E365" s="24">
        <v>6037.2510000000002</v>
      </c>
      <c r="F365" s="24"/>
      <c r="G365" s="24"/>
      <c r="H365" s="24"/>
      <c r="I365" s="24"/>
      <c r="J365" s="24"/>
      <c r="K365" s="24"/>
      <c r="L365" s="24"/>
      <c r="M365" s="24"/>
      <c r="N365" s="24"/>
      <c r="O365" s="24"/>
      <c r="P365" s="24"/>
      <c r="Q365" s="24"/>
      <c r="R365" s="24">
        <v>6037.2510000000002</v>
      </c>
      <c r="S365" s="24"/>
      <c r="T365" s="22"/>
      <c r="U365" s="22"/>
    </row>
    <row r="366" spans="1:21">
      <c r="A366" s="243">
        <v>36</v>
      </c>
      <c r="B366" s="18" t="s">
        <v>555</v>
      </c>
      <c r="C366" s="18"/>
      <c r="D366" s="19">
        <v>0</v>
      </c>
      <c r="E366" s="124">
        <v>351.28</v>
      </c>
      <c r="F366" s="124">
        <v>0</v>
      </c>
      <c r="G366" s="124">
        <v>0</v>
      </c>
      <c r="H366" s="124">
        <v>0</v>
      </c>
      <c r="I366" s="124">
        <v>0</v>
      </c>
      <c r="J366" s="124">
        <v>0</v>
      </c>
      <c r="K366" s="124">
        <v>0</v>
      </c>
      <c r="L366" s="124">
        <v>0</v>
      </c>
      <c r="M366" s="124">
        <v>0</v>
      </c>
      <c r="N366" s="124">
        <v>0</v>
      </c>
      <c r="O366" s="124">
        <v>0</v>
      </c>
      <c r="P366" s="124">
        <v>0</v>
      </c>
      <c r="Q366" s="124">
        <v>0</v>
      </c>
      <c r="R366" s="124">
        <v>351.28</v>
      </c>
      <c r="S366" s="124">
        <v>0</v>
      </c>
      <c r="T366" s="19">
        <v>0</v>
      </c>
      <c r="U366" s="22"/>
    </row>
    <row r="367" spans="1:21" s="41" customFormat="1" hidden="1">
      <c r="A367" s="37"/>
      <c r="B367" s="38" t="s">
        <v>294</v>
      </c>
      <c r="C367" s="38"/>
      <c r="D367" s="39">
        <v>0</v>
      </c>
      <c r="E367" s="61">
        <v>351.28</v>
      </c>
      <c r="F367" s="61">
        <v>0</v>
      </c>
      <c r="G367" s="61">
        <v>0</v>
      </c>
      <c r="H367" s="61">
        <v>0</v>
      </c>
      <c r="I367" s="61">
        <v>0</v>
      </c>
      <c r="J367" s="61">
        <v>0</v>
      </c>
      <c r="K367" s="61">
        <v>0</v>
      </c>
      <c r="L367" s="61">
        <v>0</v>
      </c>
      <c r="M367" s="61">
        <v>0</v>
      </c>
      <c r="N367" s="61">
        <v>0</v>
      </c>
      <c r="O367" s="61">
        <v>0</v>
      </c>
      <c r="P367" s="61">
        <v>0</v>
      </c>
      <c r="Q367" s="61">
        <v>0</v>
      </c>
      <c r="R367" s="61">
        <v>351.28</v>
      </c>
      <c r="S367" s="61">
        <v>0</v>
      </c>
      <c r="T367" s="39">
        <v>0</v>
      </c>
      <c r="U367" s="39"/>
    </row>
    <row r="368" spans="1:21" ht="22.5" hidden="1">
      <c r="A368" s="20"/>
      <c r="B368" s="33" t="s">
        <v>556</v>
      </c>
      <c r="C368" s="70">
        <v>7458328</v>
      </c>
      <c r="D368" s="22"/>
      <c r="E368" s="24">
        <v>351.28</v>
      </c>
      <c r="F368" s="24"/>
      <c r="G368" s="24"/>
      <c r="H368" s="24"/>
      <c r="I368" s="24"/>
      <c r="J368" s="24"/>
      <c r="K368" s="24"/>
      <c r="L368" s="24"/>
      <c r="M368" s="24"/>
      <c r="N368" s="24"/>
      <c r="O368" s="24"/>
      <c r="P368" s="24"/>
      <c r="Q368" s="24"/>
      <c r="R368" s="24">
        <v>351.28</v>
      </c>
      <c r="S368" s="24"/>
      <c r="T368" s="22"/>
      <c r="U368" s="22"/>
    </row>
    <row r="369" spans="1:22" ht="18" customHeight="1">
      <c r="A369" s="243">
        <v>37</v>
      </c>
      <c r="B369" s="18" t="s">
        <v>557</v>
      </c>
      <c r="C369" s="70"/>
      <c r="D369" s="19">
        <v>1000</v>
      </c>
      <c r="E369" s="124">
        <v>999.15</v>
      </c>
      <c r="F369" s="124">
        <v>0</v>
      </c>
      <c r="G369" s="124">
        <v>0</v>
      </c>
      <c r="H369" s="124">
        <v>0</v>
      </c>
      <c r="I369" s="124">
        <v>0</v>
      </c>
      <c r="J369" s="124">
        <v>0</v>
      </c>
      <c r="K369" s="124">
        <v>0</v>
      </c>
      <c r="L369" s="124">
        <v>0</v>
      </c>
      <c r="M369" s="124">
        <v>0</v>
      </c>
      <c r="N369" s="124">
        <v>0</v>
      </c>
      <c r="O369" s="124">
        <v>0</v>
      </c>
      <c r="P369" s="124">
        <v>0</v>
      </c>
      <c r="Q369" s="124">
        <v>0</v>
      </c>
      <c r="R369" s="124">
        <v>999.15</v>
      </c>
      <c r="S369" s="124">
        <v>0</v>
      </c>
      <c r="T369" s="19">
        <v>0</v>
      </c>
      <c r="U369" s="19"/>
    </row>
    <row r="370" spans="1:22" hidden="1">
      <c r="A370" s="37"/>
      <c r="B370" s="38" t="s">
        <v>294</v>
      </c>
      <c r="C370" s="53"/>
      <c r="D370" s="19">
        <v>1000</v>
      </c>
      <c r="E370" s="124">
        <v>999.15</v>
      </c>
      <c r="F370" s="124">
        <v>0</v>
      </c>
      <c r="G370" s="124">
        <v>0</v>
      </c>
      <c r="H370" s="124">
        <v>0</v>
      </c>
      <c r="I370" s="124">
        <v>0</v>
      </c>
      <c r="J370" s="124">
        <v>0</v>
      </c>
      <c r="K370" s="124">
        <v>0</v>
      </c>
      <c r="L370" s="124">
        <v>0</v>
      </c>
      <c r="M370" s="124">
        <v>0</v>
      </c>
      <c r="N370" s="124">
        <v>0</v>
      </c>
      <c r="O370" s="124">
        <v>0</v>
      </c>
      <c r="P370" s="124">
        <v>0</v>
      </c>
      <c r="Q370" s="124">
        <v>0</v>
      </c>
      <c r="R370" s="124">
        <v>999.15</v>
      </c>
      <c r="S370" s="124">
        <v>0</v>
      </c>
      <c r="T370" s="19">
        <v>0</v>
      </c>
      <c r="U370" s="22"/>
    </row>
    <row r="371" spans="1:22" ht="45" hidden="1">
      <c r="A371" s="20"/>
      <c r="B371" s="49" t="s">
        <v>558</v>
      </c>
      <c r="C371" s="105" t="s">
        <v>559</v>
      </c>
      <c r="D371" s="22">
        <v>1000</v>
      </c>
      <c r="E371" s="24">
        <v>999.15</v>
      </c>
      <c r="F371" s="24"/>
      <c r="G371" s="24"/>
      <c r="H371" s="24"/>
      <c r="I371" s="24"/>
      <c r="J371" s="24"/>
      <c r="K371" s="24"/>
      <c r="L371" s="24"/>
      <c r="M371" s="24"/>
      <c r="N371" s="24"/>
      <c r="O371" s="24"/>
      <c r="P371" s="24"/>
      <c r="Q371" s="24"/>
      <c r="R371" s="24">
        <v>999.15</v>
      </c>
      <c r="S371" s="24"/>
      <c r="T371" s="22"/>
      <c r="U371" s="22"/>
    </row>
    <row r="372" spans="1:22">
      <c r="A372" s="243">
        <v>38</v>
      </c>
      <c r="B372" s="18" t="s">
        <v>560</v>
      </c>
      <c r="C372" s="18"/>
      <c r="D372" s="19">
        <v>1216</v>
      </c>
      <c r="E372" s="124">
        <v>13001.054999999998</v>
      </c>
      <c r="F372" s="124">
        <v>0</v>
      </c>
      <c r="G372" s="124">
        <v>0</v>
      </c>
      <c r="H372" s="124">
        <v>0</v>
      </c>
      <c r="I372" s="124">
        <v>0</v>
      </c>
      <c r="J372" s="124">
        <v>0</v>
      </c>
      <c r="K372" s="124">
        <v>0</v>
      </c>
      <c r="L372" s="124">
        <v>0</v>
      </c>
      <c r="M372" s="124">
        <v>0</v>
      </c>
      <c r="N372" s="124">
        <v>0</v>
      </c>
      <c r="O372" s="124">
        <v>0</v>
      </c>
      <c r="P372" s="124">
        <v>0</v>
      </c>
      <c r="Q372" s="124">
        <v>0</v>
      </c>
      <c r="R372" s="124">
        <v>13001.054999999998</v>
      </c>
      <c r="S372" s="124">
        <v>0</v>
      </c>
      <c r="T372" s="19">
        <v>0</v>
      </c>
      <c r="U372" s="22"/>
    </row>
    <row r="373" spans="1:22" s="41" customFormat="1" hidden="1">
      <c r="A373" s="37"/>
      <c r="B373" s="38" t="s">
        <v>294</v>
      </c>
      <c r="C373" s="38"/>
      <c r="D373" s="39">
        <v>1216</v>
      </c>
      <c r="E373" s="61">
        <v>1150.6220000000001</v>
      </c>
      <c r="F373" s="61">
        <v>0</v>
      </c>
      <c r="G373" s="61">
        <v>0</v>
      </c>
      <c r="H373" s="61">
        <v>0</v>
      </c>
      <c r="I373" s="61">
        <v>0</v>
      </c>
      <c r="J373" s="61">
        <v>0</v>
      </c>
      <c r="K373" s="61">
        <v>0</v>
      </c>
      <c r="L373" s="61">
        <v>0</v>
      </c>
      <c r="M373" s="61">
        <v>0</v>
      </c>
      <c r="N373" s="61">
        <v>0</v>
      </c>
      <c r="O373" s="61">
        <v>0</v>
      </c>
      <c r="P373" s="61">
        <v>0</v>
      </c>
      <c r="Q373" s="61">
        <v>0</v>
      </c>
      <c r="R373" s="61">
        <v>1150.6220000000001</v>
      </c>
      <c r="S373" s="61">
        <v>0</v>
      </c>
      <c r="T373" s="39">
        <v>0</v>
      </c>
      <c r="U373" s="39"/>
    </row>
    <row r="374" spans="1:22" ht="45" hidden="1">
      <c r="A374" s="243"/>
      <c r="B374" s="49" t="s">
        <v>561</v>
      </c>
      <c r="C374" s="47">
        <v>7541676</v>
      </c>
      <c r="D374" s="22">
        <v>1216</v>
      </c>
      <c r="E374" s="24">
        <v>1150.6220000000001</v>
      </c>
      <c r="F374" s="24"/>
      <c r="G374" s="24"/>
      <c r="H374" s="24"/>
      <c r="I374" s="24"/>
      <c r="J374" s="24"/>
      <c r="K374" s="24"/>
      <c r="L374" s="24"/>
      <c r="M374" s="24"/>
      <c r="N374" s="24"/>
      <c r="O374" s="24"/>
      <c r="P374" s="24"/>
      <c r="Q374" s="24"/>
      <c r="R374" s="24">
        <v>1150.6220000000001</v>
      </c>
      <c r="S374" s="24"/>
      <c r="T374" s="22"/>
      <c r="U374" s="22"/>
    </row>
    <row r="375" spans="1:22" s="46" customFormat="1" ht="22.5" hidden="1">
      <c r="A375" s="37"/>
      <c r="B375" s="59" t="s">
        <v>279</v>
      </c>
      <c r="C375" s="141"/>
      <c r="D375" s="142">
        <v>0</v>
      </c>
      <c r="E375" s="494">
        <v>11850.432999999999</v>
      </c>
      <c r="F375" s="494">
        <v>0</v>
      </c>
      <c r="G375" s="494">
        <v>0</v>
      </c>
      <c r="H375" s="494">
        <v>0</v>
      </c>
      <c r="I375" s="494">
        <v>0</v>
      </c>
      <c r="J375" s="494">
        <v>0</v>
      </c>
      <c r="K375" s="494">
        <v>0</v>
      </c>
      <c r="L375" s="494">
        <v>0</v>
      </c>
      <c r="M375" s="494">
        <v>0</v>
      </c>
      <c r="N375" s="494">
        <v>0</v>
      </c>
      <c r="O375" s="494">
        <v>0</v>
      </c>
      <c r="P375" s="494">
        <v>0</v>
      </c>
      <c r="Q375" s="494">
        <v>0</v>
      </c>
      <c r="R375" s="494">
        <v>11850.432999999999</v>
      </c>
      <c r="S375" s="494">
        <v>0</v>
      </c>
      <c r="T375" s="142">
        <v>0</v>
      </c>
      <c r="U375" s="39"/>
    </row>
    <row r="376" spans="1:22" ht="33.75" hidden="1" customHeight="1">
      <c r="A376" s="243"/>
      <c r="B376" s="33" t="s">
        <v>562</v>
      </c>
      <c r="C376" s="34">
        <v>7403793</v>
      </c>
      <c r="D376" s="44"/>
      <c r="E376" s="24">
        <v>10373.728999999999</v>
      </c>
      <c r="F376" s="24"/>
      <c r="G376" s="24"/>
      <c r="H376" s="24"/>
      <c r="I376" s="24"/>
      <c r="J376" s="24"/>
      <c r="K376" s="24"/>
      <c r="L376" s="24"/>
      <c r="M376" s="24"/>
      <c r="N376" s="24"/>
      <c r="O376" s="24"/>
      <c r="P376" s="24"/>
      <c r="Q376" s="24"/>
      <c r="R376" s="24">
        <v>10373.728999999999</v>
      </c>
      <c r="S376" s="24"/>
      <c r="T376" s="22"/>
      <c r="U376" s="22"/>
      <c r="V376" s="477"/>
    </row>
    <row r="377" spans="1:22" ht="22.5" hidden="1" customHeight="1">
      <c r="A377" s="243"/>
      <c r="B377" s="33" t="s">
        <v>563</v>
      </c>
      <c r="C377" s="34">
        <v>7591642</v>
      </c>
      <c r="D377" s="44"/>
      <c r="E377" s="24">
        <v>1476.704</v>
      </c>
      <c r="F377" s="24"/>
      <c r="G377" s="24"/>
      <c r="H377" s="24"/>
      <c r="I377" s="24"/>
      <c r="J377" s="24"/>
      <c r="K377" s="24"/>
      <c r="L377" s="24"/>
      <c r="M377" s="24"/>
      <c r="N377" s="24"/>
      <c r="O377" s="24"/>
      <c r="P377" s="24"/>
      <c r="Q377" s="24"/>
      <c r="R377" s="24">
        <v>1476.704</v>
      </c>
      <c r="S377" s="24"/>
      <c r="T377" s="22"/>
      <c r="U377" s="22"/>
      <c r="V377" s="477"/>
    </row>
    <row r="378" spans="1:22" s="41" customFormat="1" hidden="1">
      <c r="A378" s="37"/>
      <c r="B378" s="38" t="s">
        <v>280</v>
      </c>
      <c r="C378" s="38"/>
      <c r="D378" s="39">
        <v>0</v>
      </c>
      <c r="E378" s="61">
        <v>11</v>
      </c>
      <c r="F378" s="61">
        <v>0</v>
      </c>
      <c r="G378" s="61">
        <v>0</v>
      </c>
      <c r="H378" s="61">
        <v>0</v>
      </c>
      <c r="I378" s="61">
        <v>0</v>
      </c>
      <c r="J378" s="61">
        <v>0</v>
      </c>
      <c r="K378" s="61">
        <v>0</v>
      </c>
      <c r="L378" s="61">
        <v>0</v>
      </c>
      <c r="M378" s="61">
        <v>0</v>
      </c>
      <c r="N378" s="61">
        <v>0</v>
      </c>
      <c r="O378" s="61">
        <v>0</v>
      </c>
      <c r="P378" s="61">
        <v>0</v>
      </c>
      <c r="Q378" s="61">
        <v>0</v>
      </c>
      <c r="R378" s="61">
        <v>11</v>
      </c>
      <c r="S378" s="61">
        <v>0</v>
      </c>
      <c r="T378" s="39">
        <v>0</v>
      </c>
      <c r="U378" s="93"/>
    </row>
    <row r="379" spans="1:22" ht="45" hidden="1">
      <c r="A379" s="243"/>
      <c r="B379" s="33" t="s">
        <v>561</v>
      </c>
      <c r="C379" s="34">
        <v>7541676</v>
      </c>
      <c r="D379" s="22"/>
      <c r="E379" s="24">
        <v>11</v>
      </c>
      <c r="F379" s="24"/>
      <c r="G379" s="24"/>
      <c r="H379" s="24"/>
      <c r="I379" s="24"/>
      <c r="J379" s="24"/>
      <c r="K379" s="24"/>
      <c r="L379" s="24"/>
      <c r="M379" s="24"/>
      <c r="N379" s="24"/>
      <c r="O379" s="24"/>
      <c r="P379" s="24"/>
      <c r="Q379" s="24"/>
      <c r="R379" s="24">
        <v>11</v>
      </c>
      <c r="S379" s="24"/>
      <c r="T379" s="22"/>
      <c r="U379" s="22"/>
    </row>
    <row r="380" spans="1:22">
      <c r="A380" s="243">
        <v>39</v>
      </c>
      <c r="B380" s="18" t="s">
        <v>564</v>
      </c>
      <c r="C380" s="18"/>
      <c r="D380" s="19">
        <v>39684.829159000001</v>
      </c>
      <c r="E380" s="124">
        <v>42780.182094999996</v>
      </c>
      <c r="F380" s="124">
        <v>6014</v>
      </c>
      <c r="G380" s="124">
        <v>0</v>
      </c>
      <c r="H380" s="124">
        <v>0</v>
      </c>
      <c r="I380" s="124">
        <v>0</v>
      </c>
      <c r="J380" s="124">
        <v>0</v>
      </c>
      <c r="K380" s="124">
        <v>1023</v>
      </c>
      <c r="L380" s="124">
        <v>0</v>
      </c>
      <c r="M380" s="124">
        <v>0</v>
      </c>
      <c r="N380" s="124">
        <v>0</v>
      </c>
      <c r="O380" s="124">
        <v>30243.182095</v>
      </c>
      <c r="P380" s="124">
        <v>25969.041587</v>
      </c>
      <c r="Q380" s="124">
        <v>900.37200000000007</v>
      </c>
      <c r="R380" s="124">
        <v>5500</v>
      </c>
      <c r="S380" s="124">
        <v>0</v>
      </c>
      <c r="T380" s="19">
        <v>0</v>
      </c>
      <c r="U380" s="22"/>
    </row>
    <row r="381" spans="1:22" s="41" customFormat="1" hidden="1">
      <c r="A381" s="37"/>
      <c r="B381" s="38" t="s">
        <v>294</v>
      </c>
      <c r="C381" s="38"/>
      <c r="D381" s="39">
        <v>15239.829159000001</v>
      </c>
      <c r="E381" s="61">
        <v>15263.770159</v>
      </c>
      <c r="F381" s="61">
        <v>4814</v>
      </c>
      <c r="G381" s="61">
        <v>0</v>
      </c>
      <c r="H381" s="61">
        <v>0</v>
      </c>
      <c r="I381" s="61">
        <v>0</v>
      </c>
      <c r="J381" s="61">
        <v>0</v>
      </c>
      <c r="K381" s="61">
        <v>1023</v>
      </c>
      <c r="L381" s="61">
        <v>0</v>
      </c>
      <c r="M381" s="61">
        <v>0</v>
      </c>
      <c r="N381" s="61">
        <v>0</v>
      </c>
      <c r="O381" s="61">
        <v>3926.7701590000001</v>
      </c>
      <c r="P381" s="61">
        <v>559.07299999999998</v>
      </c>
      <c r="Q381" s="61">
        <v>882.89300000000003</v>
      </c>
      <c r="R381" s="61">
        <v>5500</v>
      </c>
      <c r="S381" s="61">
        <v>0</v>
      </c>
      <c r="T381" s="39">
        <v>0</v>
      </c>
      <c r="U381" s="39"/>
    </row>
    <row r="382" spans="1:22" ht="22.5" hidden="1">
      <c r="A382" s="243"/>
      <c r="B382" s="78" t="s">
        <v>565</v>
      </c>
      <c r="C382" s="143">
        <v>7608248</v>
      </c>
      <c r="D382" s="22">
        <v>414</v>
      </c>
      <c r="E382" s="24">
        <v>414</v>
      </c>
      <c r="F382" s="24">
        <v>414</v>
      </c>
      <c r="G382" s="24"/>
      <c r="H382" s="24"/>
      <c r="I382" s="24"/>
      <c r="J382" s="24"/>
      <c r="K382" s="24"/>
      <c r="L382" s="24"/>
      <c r="M382" s="24"/>
      <c r="N382" s="24"/>
      <c r="O382" s="24"/>
      <c r="P382" s="24"/>
      <c r="Q382" s="24"/>
      <c r="R382" s="24"/>
      <c r="S382" s="24"/>
      <c r="T382" s="22"/>
      <c r="U382" s="22"/>
    </row>
    <row r="383" spans="1:22" ht="22.5" hidden="1" customHeight="1">
      <c r="A383" s="243"/>
      <c r="B383" s="144" t="s">
        <v>566</v>
      </c>
      <c r="C383" s="47">
        <v>7568953</v>
      </c>
      <c r="D383" s="44">
        <v>1000</v>
      </c>
      <c r="E383" s="24">
        <v>1000</v>
      </c>
      <c r="F383" s="24">
        <v>1000</v>
      </c>
      <c r="G383" s="24"/>
      <c r="H383" s="24"/>
      <c r="I383" s="24"/>
      <c r="J383" s="24"/>
      <c r="K383" s="24"/>
      <c r="L383" s="24"/>
      <c r="M383" s="24"/>
      <c r="N383" s="24"/>
      <c r="O383" s="24"/>
      <c r="P383" s="24"/>
      <c r="Q383" s="24"/>
      <c r="R383" s="24"/>
      <c r="S383" s="24"/>
      <c r="T383" s="22"/>
      <c r="U383" s="22"/>
    </row>
    <row r="384" spans="1:22" hidden="1">
      <c r="A384" s="243"/>
      <c r="B384" s="144" t="s">
        <v>567</v>
      </c>
      <c r="C384" s="47">
        <v>7571644</v>
      </c>
      <c r="D384" s="44">
        <v>1200</v>
      </c>
      <c r="E384" s="24">
        <v>1200</v>
      </c>
      <c r="F384" s="24">
        <v>1200</v>
      </c>
      <c r="G384" s="24"/>
      <c r="H384" s="24"/>
      <c r="I384" s="24"/>
      <c r="J384" s="24"/>
      <c r="K384" s="24"/>
      <c r="L384" s="24"/>
      <c r="M384" s="24"/>
      <c r="N384" s="24"/>
      <c r="O384" s="24"/>
      <c r="P384" s="24"/>
      <c r="Q384" s="24"/>
      <c r="R384" s="24"/>
      <c r="S384" s="24"/>
      <c r="T384" s="22"/>
      <c r="U384" s="22"/>
    </row>
    <row r="385" spans="1:21" hidden="1">
      <c r="A385" s="243"/>
      <c r="B385" s="144" t="s">
        <v>568</v>
      </c>
      <c r="C385" s="47">
        <v>7568957</v>
      </c>
      <c r="D385" s="44">
        <v>1000</v>
      </c>
      <c r="E385" s="24">
        <v>1000</v>
      </c>
      <c r="F385" s="24">
        <v>1000</v>
      </c>
      <c r="G385" s="24"/>
      <c r="H385" s="24"/>
      <c r="I385" s="24"/>
      <c r="J385" s="24"/>
      <c r="K385" s="24"/>
      <c r="L385" s="24"/>
      <c r="M385" s="24"/>
      <c r="N385" s="24"/>
      <c r="O385" s="24"/>
      <c r="P385" s="24"/>
      <c r="Q385" s="24"/>
      <c r="R385" s="24"/>
      <c r="S385" s="24"/>
      <c r="T385" s="22"/>
      <c r="U385" s="22"/>
    </row>
    <row r="386" spans="1:21" ht="22.5" hidden="1">
      <c r="A386" s="243"/>
      <c r="B386" s="144" t="s">
        <v>569</v>
      </c>
      <c r="C386" s="88">
        <v>7613016</v>
      </c>
      <c r="D386" s="44">
        <v>400</v>
      </c>
      <c r="E386" s="24">
        <v>400</v>
      </c>
      <c r="F386" s="24">
        <v>400</v>
      </c>
      <c r="G386" s="24"/>
      <c r="H386" s="24"/>
      <c r="I386" s="24"/>
      <c r="J386" s="24"/>
      <c r="K386" s="24"/>
      <c r="L386" s="24"/>
      <c r="M386" s="24"/>
      <c r="N386" s="24"/>
      <c r="O386" s="24"/>
      <c r="P386" s="24"/>
      <c r="Q386" s="24"/>
      <c r="R386" s="24"/>
      <c r="S386" s="24"/>
      <c r="T386" s="22"/>
      <c r="U386" s="22"/>
    </row>
    <row r="387" spans="1:21" hidden="1">
      <c r="A387" s="243"/>
      <c r="B387" s="144" t="s">
        <v>570</v>
      </c>
      <c r="C387" s="34">
        <v>7614653</v>
      </c>
      <c r="D387" s="44">
        <v>400</v>
      </c>
      <c r="E387" s="24">
        <v>400</v>
      </c>
      <c r="F387" s="24">
        <v>400</v>
      </c>
      <c r="G387" s="24"/>
      <c r="H387" s="24"/>
      <c r="I387" s="24"/>
      <c r="J387" s="24"/>
      <c r="K387" s="24"/>
      <c r="L387" s="24"/>
      <c r="M387" s="24"/>
      <c r="N387" s="24"/>
      <c r="O387" s="24"/>
      <c r="P387" s="24"/>
      <c r="Q387" s="24"/>
      <c r="R387" s="24"/>
      <c r="S387" s="24"/>
      <c r="T387" s="22"/>
      <c r="U387" s="22"/>
    </row>
    <row r="388" spans="1:21" hidden="1">
      <c r="A388" s="243"/>
      <c r="B388" s="144" t="s">
        <v>571</v>
      </c>
      <c r="C388" s="47">
        <v>7612600</v>
      </c>
      <c r="D388" s="44">
        <v>400</v>
      </c>
      <c r="E388" s="24">
        <v>400</v>
      </c>
      <c r="F388" s="24">
        <v>400</v>
      </c>
      <c r="G388" s="24"/>
      <c r="H388" s="24"/>
      <c r="I388" s="24"/>
      <c r="J388" s="24"/>
      <c r="K388" s="24"/>
      <c r="L388" s="24"/>
      <c r="M388" s="24"/>
      <c r="N388" s="24"/>
      <c r="O388" s="24"/>
      <c r="P388" s="24"/>
      <c r="Q388" s="24"/>
      <c r="R388" s="24"/>
      <c r="S388" s="24"/>
      <c r="T388" s="22"/>
      <c r="U388" s="22"/>
    </row>
    <row r="389" spans="1:21" ht="22.5" hidden="1">
      <c r="A389" s="243"/>
      <c r="B389" s="145" t="s">
        <v>572</v>
      </c>
      <c r="C389" s="146">
        <v>7297401</v>
      </c>
      <c r="D389" s="44">
        <v>130.46299999999999</v>
      </c>
      <c r="E389" s="482">
        <v>130.46299999999999</v>
      </c>
      <c r="F389" s="24"/>
      <c r="G389" s="24"/>
      <c r="H389" s="24"/>
      <c r="I389" s="24"/>
      <c r="J389" s="24"/>
      <c r="K389" s="24"/>
      <c r="L389" s="24"/>
      <c r="M389" s="24"/>
      <c r="N389" s="24"/>
      <c r="O389" s="482">
        <v>130.46299999999999</v>
      </c>
      <c r="P389" s="24"/>
      <c r="Q389" s="482">
        <v>130.46299999999999</v>
      </c>
      <c r="R389" s="24"/>
      <c r="S389" s="24"/>
      <c r="T389" s="22"/>
      <c r="U389" s="22"/>
    </row>
    <row r="390" spans="1:21" ht="33.75" hidden="1">
      <c r="A390" s="243"/>
      <c r="B390" s="45" t="s">
        <v>573</v>
      </c>
      <c r="C390" s="43">
        <v>7247869</v>
      </c>
      <c r="D390" s="44">
        <v>711.24800000000005</v>
      </c>
      <c r="E390" s="482">
        <v>711.24800000000005</v>
      </c>
      <c r="F390" s="24"/>
      <c r="G390" s="24"/>
      <c r="H390" s="24"/>
      <c r="I390" s="24"/>
      <c r="J390" s="24"/>
      <c r="K390" s="24"/>
      <c r="L390" s="24"/>
      <c r="M390" s="24"/>
      <c r="N390" s="24"/>
      <c r="O390" s="482">
        <v>711.24800000000005</v>
      </c>
      <c r="P390" s="24"/>
      <c r="Q390" s="482">
        <v>711.24800000000005</v>
      </c>
      <c r="R390" s="24"/>
      <c r="S390" s="24"/>
      <c r="T390" s="22"/>
      <c r="U390" s="22"/>
    </row>
    <row r="391" spans="1:21" ht="22.5" hidden="1">
      <c r="A391" s="243"/>
      <c r="B391" s="45" t="s">
        <v>574</v>
      </c>
      <c r="C391" s="43">
        <v>7255444</v>
      </c>
      <c r="D391" s="44">
        <v>458.76</v>
      </c>
      <c r="E391" s="482">
        <v>458.76</v>
      </c>
      <c r="F391" s="24"/>
      <c r="G391" s="24"/>
      <c r="H391" s="24"/>
      <c r="I391" s="24"/>
      <c r="J391" s="24"/>
      <c r="K391" s="24"/>
      <c r="L391" s="24"/>
      <c r="M391" s="24"/>
      <c r="N391" s="24"/>
      <c r="O391" s="482">
        <v>458.76</v>
      </c>
      <c r="P391" s="482">
        <v>458.76</v>
      </c>
      <c r="Q391" s="24"/>
      <c r="R391" s="24"/>
      <c r="S391" s="24"/>
      <c r="T391" s="22"/>
      <c r="U391" s="22"/>
    </row>
    <row r="392" spans="1:21" ht="33.75" hidden="1">
      <c r="A392" s="243"/>
      <c r="B392" s="63" t="s">
        <v>575</v>
      </c>
      <c r="C392" s="34">
        <v>7020227</v>
      </c>
      <c r="D392" s="44">
        <v>50.863159000000003</v>
      </c>
      <c r="E392" s="482">
        <v>50.863159000000003</v>
      </c>
      <c r="F392" s="24"/>
      <c r="G392" s="24"/>
      <c r="H392" s="24"/>
      <c r="I392" s="24"/>
      <c r="J392" s="24"/>
      <c r="K392" s="24"/>
      <c r="L392" s="24"/>
      <c r="M392" s="24"/>
      <c r="N392" s="24"/>
      <c r="O392" s="482">
        <v>50.863159000000003</v>
      </c>
      <c r="P392" s="482"/>
      <c r="Q392" s="24"/>
      <c r="R392" s="24"/>
      <c r="S392" s="24"/>
      <c r="T392" s="22"/>
      <c r="U392" s="22"/>
    </row>
    <row r="393" spans="1:21" ht="22.5" hidden="1">
      <c r="A393" s="243"/>
      <c r="B393" s="63" t="s">
        <v>576</v>
      </c>
      <c r="C393" s="34">
        <v>7314825</v>
      </c>
      <c r="D393" s="44">
        <v>100.313</v>
      </c>
      <c r="E393" s="482">
        <v>100.313</v>
      </c>
      <c r="F393" s="24"/>
      <c r="G393" s="24"/>
      <c r="H393" s="24"/>
      <c r="I393" s="24"/>
      <c r="J393" s="24"/>
      <c r="K393" s="24"/>
      <c r="L393" s="24"/>
      <c r="M393" s="24"/>
      <c r="N393" s="24"/>
      <c r="O393" s="482">
        <v>100.313</v>
      </c>
      <c r="P393" s="482">
        <v>100.313</v>
      </c>
      <c r="Q393" s="24"/>
      <c r="R393" s="24"/>
      <c r="S393" s="24"/>
      <c r="T393" s="22"/>
      <c r="U393" s="22"/>
    </row>
    <row r="394" spans="1:21" ht="22.5" hidden="1">
      <c r="A394" s="243"/>
      <c r="B394" s="96" t="s">
        <v>577</v>
      </c>
      <c r="C394" s="81">
        <v>7294657</v>
      </c>
      <c r="D394" s="44">
        <v>41.182000000000002</v>
      </c>
      <c r="E394" s="482">
        <v>41.182000000000002</v>
      </c>
      <c r="F394" s="24"/>
      <c r="G394" s="24"/>
      <c r="H394" s="24"/>
      <c r="I394" s="24"/>
      <c r="J394" s="24"/>
      <c r="K394" s="24"/>
      <c r="L394" s="24"/>
      <c r="M394" s="24"/>
      <c r="N394" s="24"/>
      <c r="O394" s="482">
        <v>41.182000000000002</v>
      </c>
      <c r="P394" s="24"/>
      <c r="Q394" s="482">
        <v>41.182000000000002</v>
      </c>
      <c r="R394" s="24"/>
      <c r="S394" s="24"/>
      <c r="T394" s="22"/>
      <c r="U394" s="22"/>
    </row>
    <row r="395" spans="1:21" ht="22.5" hidden="1">
      <c r="A395" s="243"/>
      <c r="B395" s="49" t="s">
        <v>578</v>
      </c>
      <c r="C395" s="88">
        <v>7425116</v>
      </c>
      <c r="D395" s="44">
        <v>1500</v>
      </c>
      <c r="E395" s="482">
        <v>1553.941</v>
      </c>
      <c r="F395" s="24"/>
      <c r="G395" s="24"/>
      <c r="H395" s="24"/>
      <c r="I395" s="24"/>
      <c r="J395" s="24"/>
      <c r="K395" s="24"/>
      <c r="L395" s="24"/>
      <c r="M395" s="24"/>
      <c r="N395" s="24"/>
      <c r="O395" s="482">
        <v>1553.941</v>
      </c>
      <c r="P395" s="24"/>
      <c r="Q395" s="24"/>
      <c r="R395" s="24"/>
      <c r="S395" s="24"/>
      <c r="T395" s="22"/>
      <c r="U395" s="22"/>
    </row>
    <row r="396" spans="1:21" hidden="1">
      <c r="A396" s="243"/>
      <c r="B396" s="49" t="s">
        <v>579</v>
      </c>
      <c r="C396" s="88">
        <v>7372050</v>
      </c>
      <c r="D396" s="44">
        <v>910</v>
      </c>
      <c r="E396" s="482">
        <v>880</v>
      </c>
      <c r="F396" s="24"/>
      <c r="G396" s="24"/>
      <c r="H396" s="24"/>
      <c r="I396" s="24"/>
      <c r="J396" s="24"/>
      <c r="K396" s="24"/>
      <c r="L396" s="24"/>
      <c r="M396" s="24"/>
      <c r="N396" s="24"/>
      <c r="O396" s="482">
        <v>880</v>
      </c>
      <c r="P396" s="24"/>
      <c r="Q396" s="24"/>
      <c r="R396" s="24"/>
      <c r="S396" s="24"/>
      <c r="T396" s="22"/>
      <c r="U396" s="22"/>
    </row>
    <row r="397" spans="1:21" hidden="1">
      <c r="A397" s="243"/>
      <c r="B397" s="33" t="s">
        <v>580</v>
      </c>
      <c r="C397" s="123" t="s">
        <v>581</v>
      </c>
      <c r="D397" s="44">
        <v>1500</v>
      </c>
      <c r="E397" s="482">
        <v>1500</v>
      </c>
      <c r="F397" s="24"/>
      <c r="G397" s="24"/>
      <c r="H397" s="24"/>
      <c r="I397" s="24"/>
      <c r="J397" s="24"/>
      <c r="K397" s="24"/>
      <c r="L397" s="24"/>
      <c r="M397" s="24"/>
      <c r="N397" s="24"/>
      <c r="O397" s="24"/>
      <c r="P397" s="24"/>
      <c r="Q397" s="24"/>
      <c r="R397" s="482">
        <v>1500</v>
      </c>
      <c r="S397" s="24"/>
      <c r="T397" s="22"/>
      <c r="U397" s="22"/>
    </row>
    <row r="398" spans="1:21" hidden="1">
      <c r="A398" s="243"/>
      <c r="B398" s="33" t="s">
        <v>582</v>
      </c>
      <c r="C398" s="88">
        <v>7536289</v>
      </c>
      <c r="D398" s="44">
        <v>2000</v>
      </c>
      <c r="E398" s="482">
        <v>2000</v>
      </c>
      <c r="F398" s="24"/>
      <c r="G398" s="24"/>
      <c r="H398" s="24"/>
      <c r="I398" s="24"/>
      <c r="J398" s="24"/>
      <c r="K398" s="24"/>
      <c r="L398" s="24"/>
      <c r="M398" s="24"/>
      <c r="N398" s="24"/>
      <c r="O398" s="24"/>
      <c r="P398" s="24"/>
      <c r="Q398" s="24"/>
      <c r="R398" s="482">
        <v>2000</v>
      </c>
      <c r="S398" s="24"/>
      <c r="T398" s="22"/>
      <c r="U398" s="22"/>
    </row>
    <row r="399" spans="1:21" hidden="1">
      <c r="A399" s="243"/>
      <c r="B399" s="33" t="s">
        <v>583</v>
      </c>
      <c r="C399" s="88">
        <v>7500313</v>
      </c>
      <c r="D399" s="44">
        <v>2000</v>
      </c>
      <c r="E399" s="482">
        <v>2000</v>
      </c>
      <c r="F399" s="24"/>
      <c r="G399" s="24"/>
      <c r="H399" s="24"/>
      <c r="I399" s="24"/>
      <c r="J399" s="24"/>
      <c r="K399" s="24"/>
      <c r="L399" s="24"/>
      <c r="M399" s="24"/>
      <c r="N399" s="24"/>
      <c r="O399" s="24"/>
      <c r="P399" s="24"/>
      <c r="Q399" s="24"/>
      <c r="R399" s="482">
        <v>2000</v>
      </c>
      <c r="S399" s="24"/>
      <c r="T399" s="22"/>
      <c r="U399" s="22"/>
    </row>
    <row r="400" spans="1:21" hidden="1">
      <c r="A400" s="243"/>
      <c r="B400" s="49" t="s">
        <v>584</v>
      </c>
      <c r="C400" s="34">
        <v>7195735</v>
      </c>
      <c r="D400" s="44">
        <v>256.245</v>
      </c>
      <c r="E400" s="482">
        <v>256.245</v>
      </c>
      <c r="F400" s="24"/>
      <c r="G400" s="24"/>
      <c r="H400" s="24"/>
      <c r="I400" s="24"/>
      <c r="J400" s="24"/>
      <c r="K400" s="482">
        <v>256.245</v>
      </c>
      <c r="L400" s="24"/>
      <c r="M400" s="24"/>
      <c r="N400" s="24"/>
      <c r="O400" s="24"/>
      <c r="P400" s="24"/>
      <c r="Q400" s="24"/>
      <c r="R400" s="24"/>
      <c r="S400" s="24"/>
      <c r="T400" s="22"/>
      <c r="U400" s="22"/>
    </row>
    <row r="401" spans="1:21" ht="33.75" hidden="1">
      <c r="A401" s="243"/>
      <c r="B401" s="67" t="s">
        <v>585</v>
      </c>
      <c r="C401" s="68">
        <v>7627188</v>
      </c>
      <c r="D401" s="86">
        <v>766.755</v>
      </c>
      <c r="E401" s="492">
        <v>766.755</v>
      </c>
      <c r="F401" s="24"/>
      <c r="G401" s="24"/>
      <c r="H401" s="24"/>
      <c r="I401" s="24"/>
      <c r="J401" s="24"/>
      <c r="K401" s="492">
        <v>766.755</v>
      </c>
      <c r="L401" s="24"/>
      <c r="M401" s="24"/>
      <c r="N401" s="24"/>
      <c r="O401" s="24"/>
      <c r="P401" s="24"/>
      <c r="Q401" s="24"/>
      <c r="R401" s="24"/>
      <c r="S401" s="24"/>
      <c r="T401" s="22"/>
      <c r="U401" s="22"/>
    </row>
    <row r="402" spans="1:21" s="46" customFormat="1" hidden="1">
      <c r="A402" s="37"/>
      <c r="B402" s="74" t="s">
        <v>281</v>
      </c>
      <c r="C402" s="28"/>
      <c r="D402" s="30">
        <v>1200</v>
      </c>
      <c r="E402" s="480">
        <v>1200</v>
      </c>
      <c r="F402" s="480">
        <v>1200</v>
      </c>
      <c r="G402" s="480">
        <v>0</v>
      </c>
      <c r="H402" s="480">
        <v>0</v>
      </c>
      <c r="I402" s="480">
        <v>0</v>
      </c>
      <c r="J402" s="480">
        <v>0</v>
      </c>
      <c r="K402" s="480">
        <v>0</v>
      </c>
      <c r="L402" s="480">
        <v>0</v>
      </c>
      <c r="M402" s="480">
        <v>0</v>
      </c>
      <c r="N402" s="480">
        <v>0</v>
      </c>
      <c r="O402" s="480">
        <v>0</v>
      </c>
      <c r="P402" s="480">
        <v>0</v>
      </c>
      <c r="Q402" s="480">
        <v>0</v>
      </c>
      <c r="R402" s="480">
        <v>0</v>
      </c>
      <c r="S402" s="480">
        <v>0</v>
      </c>
      <c r="T402" s="30">
        <v>0</v>
      </c>
      <c r="U402" s="39"/>
    </row>
    <row r="403" spans="1:21" ht="22.5" hidden="1">
      <c r="A403" s="243"/>
      <c r="B403" s="131" t="s">
        <v>569</v>
      </c>
      <c r="C403" s="47">
        <v>7613016</v>
      </c>
      <c r="D403" s="44">
        <v>500</v>
      </c>
      <c r="E403" s="482">
        <v>500</v>
      </c>
      <c r="F403" s="482">
        <v>500</v>
      </c>
      <c r="G403" s="24"/>
      <c r="H403" s="24"/>
      <c r="I403" s="24"/>
      <c r="J403" s="24"/>
      <c r="K403" s="493"/>
      <c r="L403" s="24"/>
      <c r="M403" s="24"/>
      <c r="N403" s="24"/>
      <c r="O403" s="24"/>
      <c r="P403" s="24"/>
      <c r="Q403" s="24"/>
      <c r="R403" s="24"/>
      <c r="S403" s="24"/>
      <c r="T403" s="22"/>
      <c r="U403" s="22"/>
    </row>
    <row r="404" spans="1:21" hidden="1">
      <c r="A404" s="243"/>
      <c r="B404" s="131" t="s">
        <v>570</v>
      </c>
      <c r="C404" s="34">
        <v>7614653</v>
      </c>
      <c r="D404" s="44">
        <v>500</v>
      </c>
      <c r="E404" s="482">
        <v>500</v>
      </c>
      <c r="F404" s="482">
        <v>500</v>
      </c>
      <c r="G404" s="24"/>
      <c r="H404" s="24"/>
      <c r="I404" s="24"/>
      <c r="J404" s="24"/>
      <c r="K404" s="493"/>
      <c r="L404" s="24"/>
      <c r="M404" s="24"/>
      <c r="N404" s="24"/>
      <c r="O404" s="24"/>
      <c r="P404" s="24"/>
      <c r="Q404" s="24"/>
      <c r="R404" s="24"/>
      <c r="S404" s="24"/>
      <c r="T404" s="22"/>
      <c r="U404" s="22"/>
    </row>
    <row r="405" spans="1:21" hidden="1">
      <c r="A405" s="243"/>
      <c r="B405" s="131" t="s">
        <v>571</v>
      </c>
      <c r="C405" s="47">
        <v>7612600</v>
      </c>
      <c r="D405" s="44">
        <v>200</v>
      </c>
      <c r="E405" s="482">
        <v>200</v>
      </c>
      <c r="F405" s="482">
        <v>200</v>
      </c>
      <c r="G405" s="24"/>
      <c r="H405" s="24"/>
      <c r="I405" s="24"/>
      <c r="J405" s="24"/>
      <c r="K405" s="493"/>
      <c r="L405" s="24"/>
      <c r="M405" s="24"/>
      <c r="N405" s="24"/>
      <c r="O405" s="24"/>
      <c r="P405" s="24"/>
      <c r="Q405" s="24"/>
      <c r="R405" s="24"/>
      <c r="S405" s="24"/>
      <c r="T405" s="22"/>
      <c r="U405" s="22"/>
    </row>
    <row r="406" spans="1:21" s="46" customFormat="1" hidden="1">
      <c r="A406" s="37"/>
      <c r="B406" s="74" t="s">
        <v>282</v>
      </c>
      <c r="C406" s="28"/>
      <c r="D406" s="30">
        <v>0</v>
      </c>
      <c r="E406" s="480">
        <v>189.005</v>
      </c>
      <c r="F406" s="480">
        <v>0</v>
      </c>
      <c r="G406" s="480">
        <v>0</v>
      </c>
      <c r="H406" s="480">
        <v>0</v>
      </c>
      <c r="I406" s="480">
        <v>0</v>
      </c>
      <c r="J406" s="480">
        <v>0</v>
      </c>
      <c r="K406" s="480">
        <v>0</v>
      </c>
      <c r="L406" s="480">
        <v>0</v>
      </c>
      <c r="M406" s="480">
        <v>0</v>
      </c>
      <c r="N406" s="480">
        <v>0</v>
      </c>
      <c r="O406" s="480">
        <v>189.005</v>
      </c>
      <c r="P406" s="480">
        <v>0</v>
      </c>
      <c r="Q406" s="480">
        <v>0</v>
      </c>
      <c r="R406" s="480">
        <v>0</v>
      </c>
      <c r="S406" s="480">
        <v>0</v>
      </c>
      <c r="T406" s="30">
        <v>0</v>
      </c>
      <c r="U406" s="39"/>
    </row>
    <row r="407" spans="1:21" ht="22.5" hidden="1">
      <c r="A407" s="243"/>
      <c r="B407" s="33" t="s">
        <v>586</v>
      </c>
      <c r="C407" s="34">
        <v>7621154</v>
      </c>
      <c r="D407" s="71"/>
      <c r="E407" s="493">
        <v>189.005</v>
      </c>
      <c r="F407" s="24"/>
      <c r="G407" s="24"/>
      <c r="H407" s="24"/>
      <c r="I407" s="24"/>
      <c r="J407" s="24"/>
      <c r="K407" s="493"/>
      <c r="L407" s="24"/>
      <c r="M407" s="24"/>
      <c r="N407" s="24"/>
      <c r="O407" s="493">
        <v>189.005</v>
      </c>
      <c r="P407" s="24"/>
      <c r="Q407" s="24"/>
      <c r="R407" s="24"/>
      <c r="S407" s="24"/>
      <c r="T407" s="22"/>
      <c r="U407" s="22"/>
    </row>
    <row r="408" spans="1:21" s="41" customFormat="1" hidden="1">
      <c r="A408" s="37"/>
      <c r="B408" s="38" t="s">
        <v>283</v>
      </c>
      <c r="C408" s="38"/>
      <c r="D408" s="39">
        <v>23245</v>
      </c>
      <c r="E408" s="61">
        <v>25262.528999999999</v>
      </c>
      <c r="F408" s="61">
        <v>0</v>
      </c>
      <c r="G408" s="61">
        <v>0</v>
      </c>
      <c r="H408" s="61">
        <v>0</v>
      </c>
      <c r="I408" s="61">
        <v>0</v>
      </c>
      <c r="J408" s="61">
        <v>0</v>
      </c>
      <c r="K408" s="61">
        <v>0</v>
      </c>
      <c r="L408" s="61">
        <v>0</v>
      </c>
      <c r="M408" s="61">
        <v>0</v>
      </c>
      <c r="N408" s="61">
        <v>0</v>
      </c>
      <c r="O408" s="61">
        <v>25262.528999999999</v>
      </c>
      <c r="P408" s="61">
        <v>25245.05</v>
      </c>
      <c r="Q408" s="61">
        <v>17.478999999999999</v>
      </c>
      <c r="R408" s="61">
        <v>0</v>
      </c>
      <c r="S408" s="61">
        <v>0</v>
      </c>
      <c r="T408" s="39">
        <v>0</v>
      </c>
      <c r="U408" s="93"/>
    </row>
    <row r="409" spans="1:21" ht="33.75" hidden="1">
      <c r="A409" s="243"/>
      <c r="B409" s="147" t="s">
        <v>587</v>
      </c>
      <c r="C409" s="100">
        <v>7273794</v>
      </c>
      <c r="D409" s="44">
        <v>10245</v>
      </c>
      <c r="E409" s="24">
        <v>10124.324000000001</v>
      </c>
      <c r="F409" s="24"/>
      <c r="G409" s="24"/>
      <c r="H409" s="24"/>
      <c r="I409" s="24"/>
      <c r="J409" s="24"/>
      <c r="K409" s="24"/>
      <c r="L409" s="24"/>
      <c r="M409" s="24"/>
      <c r="N409" s="24"/>
      <c r="O409" s="24">
        <v>10124.324000000001</v>
      </c>
      <c r="P409" s="24">
        <v>10124.324000000001</v>
      </c>
      <c r="Q409" s="24"/>
      <c r="R409" s="24"/>
      <c r="S409" s="24"/>
      <c r="T409" s="22"/>
      <c r="U409" s="22"/>
    </row>
    <row r="410" spans="1:21" ht="22.5" hidden="1">
      <c r="A410" s="243"/>
      <c r="B410" s="148" t="s">
        <v>588</v>
      </c>
      <c r="C410" s="47">
        <v>7278587</v>
      </c>
      <c r="D410" s="22">
        <v>5000</v>
      </c>
      <c r="E410" s="24">
        <v>5000</v>
      </c>
      <c r="F410" s="24"/>
      <c r="G410" s="24"/>
      <c r="H410" s="24"/>
      <c r="I410" s="24"/>
      <c r="J410" s="24"/>
      <c r="K410" s="24"/>
      <c r="L410" s="24"/>
      <c r="M410" s="24"/>
      <c r="N410" s="24"/>
      <c r="O410" s="24">
        <v>5000</v>
      </c>
      <c r="P410" s="24">
        <v>5000</v>
      </c>
      <c r="Q410" s="24"/>
      <c r="R410" s="24"/>
      <c r="S410" s="24"/>
      <c r="T410" s="22"/>
      <c r="U410" s="22"/>
    </row>
    <row r="411" spans="1:21" ht="33.75" hidden="1">
      <c r="A411" s="243"/>
      <c r="B411" s="49" t="s">
        <v>589</v>
      </c>
      <c r="C411" s="50">
        <v>7565587</v>
      </c>
      <c r="D411" s="44">
        <v>8000</v>
      </c>
      <c r="E411" s="24">
        <v>10113.632</v>
      </c>
      <c r="F411" s="24"/>
      <c r="G411" s="24"/>
      <c r="H411" s="24"/>
      <c r="I411" s="24"/>
      <c r="J411" s="24"/>
      <c r="K411" s="24"/>
      <c r="L411" s="24"/>
      <c r="M411" s="24"/>
      <c r="N411" s="24"/>
      <c r="O411" s="24">
        <v>10113.632</v>
      </c>
      <c r="P411" s="24">
        <v>10113.632</v>
      </c>
      <c r="Q411" s="24"/>
      <c r="R411" s="24"/>
      <c r="S411" s="24"/>
      <c r="T411" s="22"/>
      <c r="U411" s="22"/>
    </row>
    <row r="412" spans="1:21" ht="22.5" hidden="1">
      <c r="A412" s="243"/>
      <c r="B412" s="33" t="s">
        <v>590</v>
      </c>
      <c r="C412" s="34">
        <v>7321047</v>
      </c>
      <c r="D412" s="22"/>
      <c r="E412" s="24">
        <v>7.0940000000000003</v>
      </c>
      <c r="F412" s="24"/>
      <c r="G412" s="24"/>
      <c r="H412" s="24"/>
      <c r="I412" s="24"/>
      <c r="J412" s="24"/>
      <c r="K412" s="24"/>
      <c r="L412" s="24"/>
      <c r="M412" s="24"/>
      <c r="N412" s="24"/>
      <c r="O412" s="24">
        <v>7.0940000000000003</v>
      </c>
      <c r="P412" s="24">
        <v>7.0940000000000003</v>
      </c>
      <c r="Q412" s="24"/>
      <c r="R412" s="24"/>
      <c r="S412" s="24"/>
      <c r="T412" s="22"/>
      <c r="U412" s="22"/>
    </row>
    <row r="413" spans="1:21" ht="56.25" hidden="1">
      <c r="A413" s="243"/>
      <c r="B413" s="33" t="s">
        <v>591</v>
      </c>
      <c r="C413" s="34">
        <v>7352618</v>
      </c>
      <c r="D413" s="22"/>
      <c r="E413" s="24">
        <v>17.478999999999999</v>
      </c>
      <c r="F413" s="24"/>
      <c r="G413" s="24"/>
      <c r="H413" s="24"/>
      <c r="I413" s="24"/>
      <c r="J413" s="24"/>
      <c r="K413" s="24"/>
      <c r="L413" s="24"/>
      <c r="M413" s="24"/>
      <c r="N413" s="24"/>
      <c r="O413" s="24">
        <v>17.478999999999999</v>
      </c>
      <c r="P413" s="24"/>
      <c r="Q413" s="24">
        <v>17.478999999999999</v>
      </c>
      <c r="R413" s="24"/>
      <c r="S413" s="24"/>
      <c r="T413" s="22"/>
      <c r="U413" s="22"/>
    </row>
    <row r="414" spans="1:21" s="41" customFormat="1" hidden="1">
      <c r="A414" s="37"/>
      <c r="B414" s="38" t="s">
        <v>309</v>
      </c>
      <c r="C414" s="38"/>
      <c r="D414" s="39">
        <v>0</v>
      </c>
      <c r="E414" s="61">
        <v>864.87793599999998</v>
      </c>
      <c r="F414" s="61">
        <v>0</v>
      </c>
      <c r="G414" s="61">
        <v>0</v>
      </c>
      <c r="H414" s="61">
        <v>0</v>
      </c>
      <c r="I414" s="61">
        <v>0</v>
      </c>
      <c r="J414" s="61">
        <v>0</v>
      </c>
      <c r="K414" s="61">
        <v>0</v>
      </c>
      <c r="L414" s="61">
        <v>0</v>
      </c>
      <c r="M414" s="61">
        <v>0</v>
      </c>
      <c r="N414" s="61">
        <v>0</v>
      </c>
      <c r="O414" s="61">
        <v>864.87793599999998</v>
      </c>
      <c r="P414" s="61">
        <v>164.918587</v>
      </c>
      <c r="Q414" s="61">
        <v>0</v>
      </c>
      <c r="R414" s="61">
        <v>0</v>
      </c>
      <c r="S414" s="61">
        <v>0</v>
      </c>
      <c r="T414" s="39">
        <v>0</v>
      </c>
      <c r="U414" s="93"/>
    </row>
    <row r="415" spans="1:21" ht="22.5" hidden="1">
      <c r="A415" s="243"/>
      <c r="B415" s="149" t="s">
        <v>592</v>
      </c>
      <c r="C415" s="150" t="s">
        <v>593</v>
      </c>
      <c r="D415" s="22"/>
      <c r="E415" s="24">
        <v>130.152953</v>
      </c>
      <c r="F415" s="24"/>
      <c r="G415" s="24"/>
      <c r="H415" s="24"/>
      <c r="I415" s="24"/>
      <c r="J415" s="24"/>
      <c r="K415" s="24"/>
      <c r="L415" s="24"/>
      <c r="M415" s="24"/>
      <c r="N415" s="24"/>
      <c r="O415" s="24">
        <v>130.152953</v>
      </c>
      <c r="P415" s="24">
        <v>130.152953</v>
      </c>
      <c r="Q415" s="24"/>
      <c r="R415" s="24"/>
      <c r="S415" s="24"/>
      <c r="T415" s="22"/>
      <c r="U415" s="22"/>
    </row>
    <row r="416" spans="1:21" ht="22.5" hidden="1">
      <c r="A416" s="243"/>
      <c r="B416" s="149" t="s">
        <v>594</v>
      </c>
      <c r="C416" s="150" t="s">
        <v>595</v>
      </c>
      <c r="D416" s="22"/>
      <c r="E416" s="24">
        <v>33.560634</v>
      </c>
      <c r="F416" s="24"/>
      <c r="G416" s="24"/>
      <c r="H416" s="24"/>
      <c r="I416" s="24"/>
      <c r="J416" s="24"/>
      <c r="K416" s="24"/>
      <c r="L416" s="24"/>
      <c r="M416" s="24"/>
      <c r="N416" s="24"/>
      <c r="O416" s="24">
        <v>33.560634</v>
      </c>
      <c r="P416" s="24">
        <v>33.560634</v>
      </c>
      <c r="Q416" s="24"/>
      <c r="R416" s="24"/>
      <c r="S416" s="24"/>
      <c r="T416" s="22"/>
      <c r="U416" s="22"/>
    </row>
    <row r="417" spans="1:21" ht="22.5" hidden="1">
      <c r="A417" s="243"/>
      <c r="B417" s="149" t="s">
        <v>596</v>
      </c>
      <c r="C417" s="150" t="s">
        <v>597</v>
      </c>
      <c r="D417" s="22"/>
      <c r="E417" s="24">
        <v>1.2050000000000001</v>
      </c>
      <c r="F417" s="24"/>
      <c r="G417" s="24"/>
      <c r="H417" s="24"/>
      <c r="I417" s="24"/>
      <c r="J417" s="24"/>
      <c r="K417" s="24"/>
      <c r="L417" s="24"/>
      <c r="M417" s="24"/>
      <c r="N417" s="24"/>
      <c r="O417" s="24">
        <v>1.2050000000000001</v>
      </c>
      <c r="P417" s="24">
        <v>1.2050000000000001</v>
      </c>
      <c r="Q417" s="24"/>
      <c r="R417" s="24"/>
      <c r="S417" s="24"/>
      <c r="T417" s="22"/>
      <c r="U417" s="22"/>
    </row>
    <row r="418" spans="1:21" ht="22.5" hidden="1">
      <c r="A418" s="243"/>
      <c r="B418" s="149" t="s">
        <v>598</v>
      </c>
      <c r="C418" s="150" t="s">
        <v>599</v>
      </c>
      <c r="D418" s="22"/>
      <c r="E418" s="24">
        <v>699.95934899999997</v>
      </c>
      <c r="F418" s="24"/>
      <c r="G418" s="24"/>
      <c r="H418" s="24"/>
      <c r="I418" s="24"/>
      <c r="J418" s="24"/>
      <c r="K418" s="24"/>
      <c r="L418" s="24"/>
      <c r="M418" s="24"/>
      <c r="N418" s="24"/>
      <c r="O418" s="24">
        <v>699.95934899999997</v>
      </c>
      <c r="P418" s="24"/>
      <c r="Q418" s="24"/>
      <c r="R418" s="24"/>
      <c r="S418" s="24"/>
      <c r="T418" s="22"/>
      <c r="U418" s="22"/>
    </row>
    <row r="419" spans="1:21">
      <c r="A419" s="243">
        <v>40</v>
      </c>
      <c r="B419" s="18" t="s">
        <v>600</v>
      </c>
      <c r="C419" s="18"/>
      <c r="D419" s="19">
        <v>1105</v>
      </c>
      <c r="E419" s="124">
        <v>1105</v>
      </c>
      <c r="F419" s="124">
        <v>0</v>
      </c>
      <c r="G419" s="124">
        <v>0</v>
      </c>
      <c r="H419" s="124">
        <v>1000</v>
      </c>
      <c r="I419" s="124">
        <v>0</v>
      </c>
      <c r="J419" s="124">
        <v>0</v>
      </c>
      <c r="K419" s="124">
        <v>0</v>
      </c>
      <c r="L419" s="124">
        <v>0</v>
      </c>
      <c r="M419" s="124">
        <v>0</v>
      </c>
      <c r="N419" s="124">
        <v>0</v>
      </c>
      <c r="O419" s="124">
        <v>105</v>
      </c>
      <c r="P419" s="124">
        <v>0</v>
      </c>
      <c r="Q419" s="124">
        <v>0</v>
      </c>
      <c r="R419" s="124">
        <v>0</v>
      </c>
      <c r="S419" s="124">
        <v>0</v>
      </c>
      <c r="T419" s="19">
        <v>0</v>
      </c>
      <c r="U419" s="22"/>
    </row>
    <row r="420" spans="1:21" s="41" customFormat="1" hidden="1">
      <c r="A420" s="37"/>
      <c r="B420" s="38" t="s">
        <v>294</v>
      </c>
      <c r="C420" s="38"/>
      <c r="D420" s="39">
        <v>1105</v>
      </c>
      <c r="E420" s="61">
        <v>1105</v>
      </c>
      <c r="F420" s="61">
        <v>0</v>
      </c>
      <c r="G420" s="61">
        <v>0</v>
      </c>
      <c r="H420" s="61">
        <v>1000</v>
      </c>
      <c r="I420" s="61">
        <v>0</v>
      </c>
      <c r="J420" s="61">
        <v>0</v>
      </c>
      <c r="K420" s="61">
        <v>0</v>
      </c>
      <c r="L420" s="61">
        <v>0</v>
      </c>
      <c r="M420" s="61">
        <v>0</v>
      </c>
      <c r="N420" s="61">
        <v>0</v>
      </c>
      <c r="O420" s="61">
        <v>105</v>
      </c>
      <c r="P420" s="61">
        <v>0</v>
      </c>
      <c r="Q420" s="61">
        <v>0</v>
      </c>
      <c r="R420" s="61">
        <v>0</v>
      </c>
      <c r="S420" s="61">
        <v>0</v>
      </c>
      <c r="T420" s="39">
        <v>0</v>
      </c>
      <c r="U420" s="39"/>
    </row>
    <row r="421" spans="1:21" ht="22.5" hidden="1">
      <c r="A421" s="243"/>
      <c r="B421" s="45" t="s">
        <v>601</v>
      </c>
      <c r="C421" s="43">
        <v>7184820</v>
      </c>
      <c r="D421" s="22">
        <v>105</v>
      </c>
      <c r="E421" s="24">
        <v>105</v>
      </c>
      <c r="F421" s="24"/>
      <c r="G421" s="24"/>
      <c r="H421" s="24"/>
      <c r="I421" s="24"/>
      <c r="J421" s="24"/>
      <c r="K421" s="24"/>
      <c r="L421" s="24"/>
      <c r="M421" s="24"/>
      <c r="N421" s="24"/>
      <c r="O421" s="24">
        <v>105</v>
      </c>
      <c r="P421" s="24"/>
      <c r="Q421" s="24"/>
      <c r="R421" s="24"/>
      <c r="S421" s="24"/>
      <c r="T421" s="22"/>
      <c r="U421" s="22"/>
    </row>
    <row r="422" spans="1:21" hidden="1">
      <c r="A422" s="243"/>
      <c r="B422" s="33" t="s">
        <v>602</v>
      </c>
      <c r="C422" s="88">
        <v>7573411</v>
      </c>
      <c r="D422" s="22">
        <v>1000</v>
      </c>
      <c r="E422" s="24">
        <v>1000</v>
      </c>
      <c r="F422" s="24"/>
      <c r="G422" s="24"/>
      <c r="H422" s="24">
        <v>1000</v>
      </c>
      <c r="I422" s="24"/>
      <c r="J422" s="24"/>
      <c r="K422" s="24"/>
      <c r="L422" s="24"/>
      <c r="M422" s="24"/>
      <c r="N422" s="24"/>
      <c r="O422" s="24"/>
      <c r="P422" s="24"/>
      <c r="Q422" s="24"/>
      <c r="R422" s="24"/>
      <c r="S422" s="24"/>
      <c r="T422" s="22"/>
      <c r="U422" s="22"/>
    </row>
    <row r="423" spans="1:21">
      <c r="A423" s="243">
        <v>41</v>
      </c>
      <c r="B423" s="18" t="s">
        <v>603</v>
      </c>
      <c r="C423" s="18"/>
      <c r="D423" s="19">
        <v>64822.449000000001</v>
      </c>
      <c r="E423" s="124">
        <v>30862.311999999998</v>
      </c>
      <c r="F423" s="124">
        <v>8656.0339999999997</v>
      </c>
      <c r="G423" s="124">
        <v>0</v>
      </c>
      <c r="H423" s="124">
        <v>0</v>
      </c>
      <c r="I423" s="124">
        <v>0</v>
      </c>
      <c r="J423" s="124">
        <v>1174.05</v>
      </c>
      <c r="K423" s="124">
        <v>3282.1979999999999</v>
      </c>
      <c r="L423" s="124">
        <v>0</v>
      </c>
      <c r="M423" s="124">
        <v>0</v>
      </c>
      <c r="N423" s="124">
        <v>0</v>
      </c>
      <c r="O423" s="124">
        <v>17200.030000000002</v>
      </c>
      <c r="P423" s="124">
        <v>6603.84</v>
      </c>
      <c r="Q423" s="124">
        <v>1286</v>
      </c>
      <c r="R423" s="124">
        <v>550</v>
      </c>
      <c r="S423" s="124">
        <v>0</v>
      </c>
      <c r="T423" s="19">
        <v>0</v>
      </c>
      <c r="U423" s="22"/>
    </row>
    <row r="424" spans="1:21" s="41" customFormat="1" hidden="1">
      <c r="A424" s="37"/>
      <c r="B424" s="38" t="s">
        <v>294</v>
      </c>
      <c r="C424" s="38"/>
      <c r="D424" s="39">
        <v>14392.448999999999</v>
      </c>
      <c r="E424" s="61">
        <v>13488.314999999999</v>
      </c>
      <c r="F424" s="61">
        <v>4558.4709999999995</v>
      </c>
      <c r="G424" s="61">
        <v>0</v>
      </c>
      <c r="H424" s="61">
        <v>0</v>
      </c>
      <c r="I424" s="61">
        <v>0</v>
      </c>
      <c r="J424" s="61">
        <v>1174.05</v>
      </c>
      <c r="K424" s="61">
        <v>3200</v>
      </c>
      <c r="L424" s="61">
        <v>0</v>
      </c>
      <c r="M424" s="61">
        <v>0</v>
      </c>
      <c r="N424" s="61">
        <v>0</v>
      </c>
      <c r="O424" s="61">
        <v>4005.7939999999999</v>
      </c>
      <c r="P424" s="61">
        <v>0</v>
      </c>
      <c r="Q424" s="61">
        <v>1286</v>
      </c>
      <c r="R424" s="61">
        <v>550</v>
      </c>
      <c r="S424" s="61">
        <v>0</v>
      </c>
      <c r="T424" s="39">
        <v>0</v>
      </c>
      <c r="U424" s="39"/>
    </row>
    <row r="425" spans="1:21" s="41" customFormat="1" ht="22.5" hidden="1">
      <c r="A425" s="37"/>
      <c r="B425" s="144" t="s">
        <v>604</v>
      </c>
      <c r="C425" s="47">
        <v>7417258</v>
      </c>
      <c r="D425" s="44">
        <v>154.399</v>
      </c>
      <c r="E425" s="482">
        <v>154.399</v>
      </c>
      <c r="F425" s="24">
        <v>154.399</v>
      </c>
      <c r="G425" s="489"/>
      <c r="H425" s="489"/>
      <c r="I425" s="489"/>
      <c r="J425" s="489"/>
      <c r="K425" s="489"/>
      <c r="L425" s="489"/>
      <c r="M425" s="489"/>
      <c r="N425" s="489"/>
      <c r="O425" s="489"/>
      <c r="P425" s="489"/>
      <c r="Q425" s="489"/>
      <c r="R425" s="489"/>
      <c r="S425" s="489"/>
      <c r="T425" s="93"/>
      <c r="U425" s="93"/>
    </row>
    <row r="426" spans="1:21" s="41" customFormat="1" ht="22.5" hidden="1">
      <c r="A426" s="37"/>
      <c r="B426" s="144" t="s">
        <v>605</v>
      </c>
      <c r="C426" s="47">
        <v>7449366</v>
      </c>
      <c r="D426" s="44">
        <v>1380</v>
      </c>
      <c r="E426" s="482">
        <v>1380</v>
      </c>
      <c r="F426" s="24">
        <v>1380</v>
      </c>
      <c r="G426" s="489"/>
      <c r="H426" s="489"/>
      <c r="I426" s="489"/>
      <c r="J426" s="489"/>
      <c r="K426" s="489"/>
      <c r="L426" s="489"/>
      <c r="M426" s="489"/>
      <c r="N426" s="489"/>
      <c r="O426" s="489"/>
      <c r="P426" s="489"/>
      <c r="Q426" s="489"/>
      <c r="R426" s="489"/>
      <c r="S426" s="489"/>
      <c r="T426" s="93"/>
      <c r="U426" s="93"/>
    </row>
    <row r="427" spans="1:21" s="41" customFormat="1" ht="22.5" hidden="1">
      <c r="A427" s="37"/>
      <c r="B427" s="144" t="s">
        <v>606</v>
      </c>
      <c r="C427" s="47">
        <v>7373883</v>
      </c>
      <c r="D427" s="44">
        <v>1300</v>
      </c>
      <c r="E427" s="482">
        <v>1300</v>
      </c>
      <c r="F427" s="24">
        <v>1300</v>
      </c>
      <c r="G427" s="489"/>
      <c r="H427" s="489"/>
      <c r="I427" s="489"/>
      <c r="J427" s="489"/>
      <c r="K427" s="489"/>
      <c r="L427" s="489"/>
      <c r="M427" s="489"/>
      <c r="N427" s="489"/>
      <c r="O427" s="489"/>
      <c r="P427" s="489"/>
      <c r="Q427" s="489"/>
      <c r="R427" s="489"/>
      <c r="S427" s="489"/>
      <c r="T427" s="93"/>
      <c r="U427" s="93"/>
    </row>
    <row r="428" spans="1:21" s="41" customFormat="1" ht="22.5" hidden="1">
      <c r="A428" s="37"/>
      <c r="B428" s="49" t="s">
        <v>607</v>
      </c>
      <c r="C428" s="88">
        <v>7619654</v>
      </c>
      <c r="D428" s="44">
        <v>500</v>
      </c>
      <c r="E428" s="482">
        <v>500</v>
      </c>
      <c r="F428" s="24">
        <v>500</v>
      </c>
      <c r="G428" s="489"/>
      <c r="H428" s="489"/>
      <c r="I428" s="489"/>
      <c r="J428" s="489"/>
      <c r="K428" s="489"/>
      <c r="L428" s="489"/>
      <c r="M428" s="489"/>
      <c r="N428" s="489"/>
      <c r="O428" s="489"/>
      <c r="P428" s="489"/>
      <c r="Q428" s="489"/>
      <c r="R428" s="489"/>
      <c r="S428" s="489"/>
      <c r="T428" s="93"/>
      <c r="U428" s="93"/>
    </row>
    <row r="429" spans="1:21" s="41" customFormat="1" ht="33.75" hidden="1">
      <c r="A429" s="37"/>
      <c r="B429" s="144" t="s">
        <v>608</v>
      </c>
      <c r="C429" s="88">
        <v>7619653</v>
      </c>
      <c r="D429" s="44">
        <v>600</v>
      </c>
      <c r="E429" s="482">
        <v>584.04399999999998</v>
      </c>
      <c r="F429" s="24">
        <v>584.04399999999998</v>
      </c>
      <c r="G429" s="489"/>
      <c r="H429" s="489"/>
      <c r="I429" s="489"/>
      <c r="J429" s="489"/>
      <c r="K429" s="489"/>
      <c r="L429" s="489"/>
      <c r="M429" s="489"/>
      <c r="N429" s="489"/>
      <c r="O429" s="489"/>
      <c r="P429" s="489"/>
      <c r="Q429" s="489"/>
      <c r="R429" s="489"/>
      <c r="S429" s="489"/>
      <c r="T429" s="93"/>
      <c r="U429" s="93"/>
    </row>
    <row r="430" spans="1:21" s="41" customFormat="1" ht="22.5" hidden="1">
      <c r="A430" s="37"/>
      <c r="B430" s="144" t="s">
        <v>609</v>
      </c>
      <c r="C430" s="47">
        <v>7629155</v>
      </c>
      <c r="D430" s="44">
        <v>800</v>
      </c>
      <c r="E430" s="482">
        <v>540.02800000000002</v>
      </c>
      <c r="F430" s="24">
        <v>540.02800000000002</v>
      </c>
      <c r="G430" s="489"/>
      <c r="H430" s="489"/>
      <c r="I430" s="489"/>
      <c r="J430" s="489"/>
      <c r="K430" s="489"/>
      <c r="L430" s="489"/>
      <c r="M430" s="489"/>
      <c r="N430" s="489"/>
      <c r="O430" s="489"/>
      <c r="P430" s="489"/>
      <c r="Q430" s="489"/>
      <c r="R430" s="489"/>
      <c r="S430" s="489"/>
      <c r="T430" s="93"/>
      <c r="U430" s="93"/>
    </row>
    <row r="431" spans="1:21" s="41" customFormat="1" hidden="1">
      <c r="A431" s="37"/>
      <c r="B431" s="144" t="s">
        <v>610</v>
      </c>
      <c r="C431" s="151" t="s">
        <v>611</v>
      </c>
      <c r="D431" s="152">
        <v>100</v>
      </c>
      <c r="E431" s="482">
        <v>100</v>
      </c>
      <c r="F431" s="24">
        <v>100</v>
      </c>
      <c r="G431" s="489"/>
      <c r="H431" s="489"/>
      <c r="I431" s="489"/>
      <c r="J431" s="489"/>
      <c r="K431" s="489"/>
      <c r="L431" s="489"/>
      <c r="M431" s="489"/>
      <c r="N431" s="489"/>
      <c r="O431" s="489"/>
      <c r="P431" s="489"/>
      <c r="Q431" s="489"/>
      <c r="R431" s="489"/>
      <c r="S431" s="489"/>
      <c r="T431" s="93"/>
      <c r="U431" s="93"/>
    </row>
    <row r="432" spans="1:21" ht="22.5" hidden="1">
      <c r="A432" s="20"/>
      <c r="B432" s="49" t="s">
        <v>612</v>
      </c>
      <c r="C432" s="88">
        <v>7295061</v>
      </c>
      <c r="D432" s="22">
        <v>1286</v>
      </c>
      <c r="E432" s="24">
        <v>1286</v>
      </c>
      <c r="F432" s="24"/>
      <c r="G432" s="24"/>
      <c r="H432" s="24"/>
      <c r="I432" s="24"/>
      <c r="J432" s="24"/>
      <c r="K432" s="24"/>
      <c r="L432" s="24"/>
      <c r="M432" s="24"/>
      <c r="N432" s="24"/>
      <c r="O432" s="24">
        <v>1286</v>
      </c>
      <c r="P432" s="24"/>
      <c r="Q432" s="24">
        <v>1286</v>
      </c>
      <c r="R432" s="24"/>
      <c r="S432" s="24"/>
      <c r="T432" s="22"/>
      <c r="U432" s="22"/>
    </row>
    <row r="433" spans="1:23" ht="22.5" hidden="1">
      <c r="A433" s="243"/>
      <c r="B433" s="33" t="s">
        <v>613</v>
      </c>
      <c r="C433" s="34">
        <v>7552688</v>
      </c>
      <c r="D433" s="22"/>
      <c r="E433" s="24">
        <v>21.794</v>
      </c>
      <c r="F433" s="24"/>
      <c r="G433" s="24"/>
      <c r="H433" s="24"/>
      <c r="I433" s="24"/>
      <c r="J433" s="24"/>
      <c r="K433" s="24"/>
      <c r="L433" s="24"/>
      <c r="M433" s="24"/>
      <c r="N433" s="24"/>
      <c r="O433" s="24">
        <v>21.794</v>
      </c>
      <c r="P433" s="24"/>
      <c r="Q433" s="24"/>
      <c r="R433" s="24"/>
      <c r="S433" s="24"/>
      <c r="T433" s="22"/>
      <c r="U433" s="22"/>
    </row>
    <row r="434" spans="1:23" hidden="1">
      <c r="A434" s="243"/>
      <c r="B434" s="49" t="s">
        <v>614</v>
      </c>
      <c r="C434" s="123">
        <v>7485857</v>
      </c>
      <c r="D434" s="22">
        <v>1500</v>
      </c>
      <c r="E434" s="24">
        <v>1500</v>
      </c>
      <c r="F434" s="24"/>
      <c r="G434" s="24"/>
      <c r="H434" s="24"/>
      <c r="I434" s="24"/>
      <c r="J434" s="24"/>
      <c r="K434" s="24"/>
      <c r="L434" s="24"/>
      <c r="M434" s="24"/>
      <c r="N434" s="24"/>
      <c r="O434" s="24">
        <v>1500</v>
      </c>
      <c r="P434" s="24"/>
      <c r="Q434" s="24"/>
      <c r="R434" s="24"/>
      <c r="S434" s="24"/>
      <c r="T434" s="22"/>
      <c r="U434" s="22"/>
    </row>
    <row r="435" spans="1:23" ht="22.5" hidden="1">
      <c r="A435" s="243"/>
      <c r="B435" s="49" t="s">
        <v>615</v>
      </c>
      <c r="C435" s="88">
        <v>7615459</v>
      </c>
      <c r="D435" s="22">
        <v>1000</v>
      </c>
      <c r="E435" s="24">
        <v>550</v>
      </c>
      <c r="F435" s="24"/>
      <c r="G435" s="24"/>
      <c r="H435" s="24"/>
      <c r="I435" s="24"/>
      <c r="J435" s="24"/>
      <c r="K435" s="24"/>
      <c r="L435" s="24"/>
      <c r="M435" s="24"/>
      <c r="N435" s="24"/>
      <c r="O435" s="24"/>
      <c r="P435" s="24"/>
      <c r="Q435" s="24"/>
      <c r="R435" s="24">
        <v>550</v>
      </c>
      <c r="S435" s="24"/>
      <c r="T435" s="22"/>
      <c r="U435" s="22"/>
    </row>
    <row r="436" spans="1:23" ht="33.75" hidden="1">
      <c r="A436" s="243"/>
      <c r="B436" s="49" t="s">
        <v>616</v>
      </c>
      <c r="C436" s="88">
        <v>7266349</v>
      </c>
      <c r="D436" s="22">
        <v>3200</v>
      </c>
      <c r="E436" s="24">
        <v>3200</v>
      </c>
      <c r="F436" s="24"/>
      <c r="G436" s="24"/>
      <c r="H436" s="24"/>
      <c r="I436" s="24"/>
      <c r="J436" s="24"/>
      <c r="K436" s="24">
        <v>3200</v>
      </c>
      <c r="L436" s="24"/>
      <c r="M436" s="24"/>
      <c r="N436" s="24"/>
      <c r="O436" s="24"/>
      <c r="P436" s="24"/>
      <c r="Q436" s="24"/>
      <c r="R436" s="24"/>
      <c r="S436" s="24"/>
      <c r="T436" s="22"/>
      <c r="U436" s="22"/>
    </row>
    <row r="437" spans="1:23" ht="22.5" hidden="1">
      <c r="A437" s="243"/>
      <c r="B437" s="96" t="s">
        <v>617</v>
      </c>
      <c r="C437" s="81">
        <v>7164983</v>
      </c>
      <c r="D437" s="44">
        <v>1174.05</v>
      </c>
      <c r="E437" s="482">
        <v>1174.05</v>
      </c>
      <c r="F437" s="24"/>
      <c r="G437" s="24"/>
      <c r="H437" s="24"/>
      <c r="I437" s="24"/>
      <c r="J437" s="482">
        <v>1174.05</v>
      </c>
      <c r="K437" s="24"/>
      <c r="L437" s="24"/>
      <c r="M437" s="24"/>
      <c r="N437" s="24"/>
      <c r="O437" s="24"/>
      <c r="P437" s="24"/>
      <c r="Q437" s="24"/>
      <c r="R437" s="24"/>
      <c r="S437" s="24"/>
      <c r="T437" s="22"/>
      <c r="U437" s="22"/>
    </row>
    <row r="438" spans="1:23" ht="22.5" hidden="1">
      <c r="A438" s="243"/>
      <c r="B438" s="49" t="s">
        <v>618</v>
      </c>
      <c r="C438" s="34">
        <v>7603374</v>
      </c>
      <c r="D438" s="44">
        <v>1398</v>
      </c>
      <c r="E438" s="24">
        <v>1198</v>
      </c>
      <c r="F438" s="24"/>
      <c r="G438" s="24"/>
      <c r="H438" s="24"/>
      <c r="I438" s="24"/>
      <c r="J438" s="24"/>
      <c r="K438" s="24"/>
      <c r="L438" s="24"/>
      <c r="M438" s="24"/>
      <c r="N438" s="24"/>
      <c r="O438" s="24">
        <v>1198</v>
      </c>
      <c r="P438" s="24"/>
      <c r="Q438" s="24"/>
      <c r="R438" s="24"/>
      <c r="S438" s="24"/>
      <c r="T438" s="22"/>
      <c r="U438" s="22"/>
    </row>
    <row r="439" spans="1:23" s="41" customFormat="1" hidden="1">
      <c r="A439" s="37"/>
      <c r="B439" s="38" t="s">
        <v>281</v>
      </c>
      <c r="C439" s="38"/>
      <c r="D439" s="39">
        <v>900</v>
      </c>
      <c r="E439" s="61">
        <v>1402</v>
      </c>
      <c r="F439" s="61">
        <v>1402</v>
      </c>
      <c r="G439" s="61">
        <v>0</v>
      </c>
      <c r="H439" s="61">
        <v>0</v>
      </c>
      <c r="I439" s="61">
        <v>0</v>
      </c>
      <c r="J439" s="61">
        <v>0</v>
      </c>
      <c r="K439" s="61">
        <v>0</v>
      </c>
      <c r="L439" s="61">
        <v>0</v>
      </c>
      <c r="M439" s="61">
        <v>0</v>
      </c>
      <c r="N439" s="61">
        <v>0</v>
      </c>
      <c r="O439" s="61">
        <v>0</v>
      </c>
      <c r="P439" s="61">
        <v>0</v>
      </c>
      <c r="Q439" s="61">
        <v>0</v>
      </c>
      <c r="R439" s="61">
        <v>0</v>
      </c>
      <c r="S439" s="61">
        <v>0</v>
      </c>
      <c r="T439" s="39">
        <v>0</v>
      </c>
      <c r="U439" s="93"/>
    </row>
    <row r="440" spans="1:23" ht="33.75" hidden="1">
      <c r="A440" s="243"/>
      <c r="B440" s="49" t="s">
        <v>608</v>
      </c>
      <c r="C440" s="47">
        <v>7619653</v>
      </c>
      <c r="D440" s="22">
        <v>300</v>
      </c>
      <c r="E440" s="24">
        <v>300</v>
      </c>
      <c r="F440" s="24">
        <v>300</v>
      </c>
      <c r="G440" s="24"/>
      <c r="H440" s="24"/>
      <c r="I440" s="24"/>
      <c r="J440" s="24"/>
      <c r="K440" s="24"/>
      <c r="L440" s="24"/>
      <c r="M440" s="24"/>
      <c r="N440" s="24"/>
      <c r="O440" s="24"/>
      <c r="P440" s="24"/>
      <c r="Q440" s="24"/>
      <c r="R440" s="24"/>
      <c r="S440" s="24"/>
      <c r="T440" s="22"/>
      <c r="U440" s="22"/>
    </row>
    <row r="441" spans="1:23" ht="22.5" hidden="1">
      <c r="A441" s="243"/>
      <c r="B441" s="153" t="s">
        <v>609</v>
      </c>
      <c r="C441" s="47">
        <v>7629155</v>
      </c>
      <c r="D441" s="22">
        <v>600</v>
      </c>
      <c r="E441" s="24">
        <v>600</v>
      </c>
      <c r="F441" s="24">
        <v>600</v>
      </c>
      <c r="G441" s="24"/>
      <c r="H441" s="24"/>
      <c r="I441" s="24"/>
      <c r="J441" s="24"/>
      <c r="K441" s="24"/>
      <c r="L441" s="24"/>
      <c r="M441" s="24"/>
      <c r="N441" s="24"/>
      <c r="O441" s="24"/>
      <c r="P441" s="24"/>
      <c r="Q441" s="24"/>
      <c r="R441" s="24"/>
      <c r="S441" s="24"/>
      <c r="T441" s="22"/>
      <c r="U441" s="22"/>
    </row>
    <row r="442" spans="1:23" ht="22.5" hidden="1">
      <c r="A442" s="243"/>
      <c r="B442" s="33" t="s">
        <v>605</v>
      </c>
      <c r="C442" s="34">
        <v>7449366</v>
      </c>
      <c r="D442" s="22"/>
      <c r="E442" s="24">
        <v>502</v>
      </c>
      <c r="F442" s="24">
        <v>502</v>
      </c>
      <c r="G442" s="24"/>
      <c r="H442" s="24"/>
      <c r="I442" s="24"/>
      <c r="J442" s="24"/>
      <c r="K442" s="24"/>
      <c r="L442" s="24"/>
      <c r="M442" s="24"/>
      <c r="N442" s="24"/>
      <c r="O442" s="24"/>
      <c r="P442" s="24"/>
      <c r="Q442" s="24"/>
      <c r="R442" s="24"/>
      <c r="S442" s="24"/>
      <c r="T442" s="22"/>
      <c r="U442" s="22"/>
      <c r="V442" s="1197"/>
      <c r="W442" s="1197"/>
    </row>
    <row r="443" spans="1:23" s="46" customFormat="1" hidden="1">
      <c r="A443" s="37"/>
      <c r="B443" s="154" t="s">
        <v>289</v>
      </c>
      <c r="C443" s="38"/>
      <c r="D443" s="39">
        <v>0</v>
      </c>
      <c r="E443" s="61">
        <v>1605.752</v>
      </c>
      <c r="F443" s="61">
        <v>0</v>
      </c>
      <c r="G443" s="61">
        <v>0</v>
      </c>
      <c r="H443" s="61">
        <v>0</v>
      </c>
      <c r="I443" s="61">
        <v>0</v>
      </c>
      <c r="J443" s="61">
        <v>0</v>
      </c>
      <c r="K443" s="61">
        <v>0</v>
      </c>
      <c r="L443" s="61">
        <v>0</v>
      </c>
      <c r="M443" s="61">
        <v>0</v>
      </c>
      <c r="N443" s="61">
        <v>0</v>
      </c>
      <c r="O443" s="61">
        <v>1605.752</v>
      </c>
      <c r="P443" s="61">
        <v>1605.752</v>
      </c>
      <c r="Q443" s="61">
        <v>0</v>
      </c>
      <c r="R443" s="61">
        <v>0</v>
      </c>
      <c r="S443" s="61">
        <v>0</v>
      </c>
      <c r="T443" s="39">
        <v>0</v>
      </c>
      <c r="U443" s="39"/>
    </row>
    <row r="444" spans="1:23" ht="22.5" hidden="1">
      <c r="A444" s="243"/>
      <c r="B444" s="33" t="s">
        <v>619</v>
      </c>
      <c r="C444" s="34">
        <v>7646180</v>
      </c>
      <c r="D444" s="22"/>
      <c r="E444" s="24">
        <v>1605.752</v>
      </c>
      <c r="F444" s="24"/>
      <c r="G444" s="24"/>
      <c r="H444" s="24"/>
      <c r="I444" s="24"/>
      <c r="J444" s="24"/>
      <c r="K444" s="24"/>
      <c r="L444" s="24"/>
      <c r="M444" s="24"/>
      <c r="N444" s="24"/>
      <c r="O444" s="24">
        <v>1605.752</v>
      </c>
      <c r="P444" s="24">
        <v>1605.752</v>
      </c>
      <c r="Q444" s="24"/>
      <c r="R444" s="24"/>
      <c r="S444" s="24"/>
      <c r="T444" s="22"/>
      <c r="U444" s="22"/>
    </row>
    <row r="445" spans="1:23" s="46" customFormat="1" hidden="1">
      <c r="A445" s="37"/>
      <c r="B445" s="154" t="s">
        <v>283</v>
      </c>
      <c r="C445" s="38"/>
      <c r="D445" s="39">
        <v>3000</v>
      </c>
      <c r="E445" s="61">
        <v>11467.271000000001</v>
      </c>
      <c r="F445" s="61">
        <v>0</v>
      </c>
      <c r="G445" s="61">
        <v>0</v>
      </c>
      <c r="H445" s="61">
        <v>0</v>
      </c>
      <c r="I445" s="61">
        <v>0</v>
      </c>
      <c r="J445" s="61">
        <v>0</v>
      </c>
      <c r="K445" s="61">
        <v>0</v>
      </c>
      <c r="L445" s="61">
        <v>0</v>
      </c>
      <c r="M445" s="61">
        <v>0</v>
      </c>
      <c r="N445" s="61">
        <v>0</v>
      </c>
      <c r="O445" s="61">
        <v>11467.271000000001</v>
      </c>
      <c r="P445" s="61">
        <v>4876.875</v>
      </c>
      <c r="Q445" s="61">
        <v>0</v>
      </c>
      <c r="R445" s="61">
        <v>0</v>
      </c>
      <c r="S445" s="61">
        <v>0</v>
      </c>
      <c r="T445" s="39">
        <v>0</v>
      </c>
      <c r="U445" s="39"/>
    </row>
    <row r="446" spans="1:23" ht="33.75" hidden="1">
      <c r="A446" s="243"/>
      <c r="B446" s="33" t="s">
        <v>620</v>
      </c>
      <c r="C446" s="47">
        <v>7436092</v>
      </c>
      <c r="D446" s="44"/>
      <c r="E446" s="24">
        <v>4876.875</v>
      </c>
      <c r="F446" s="24"/>
      <c r="G446" s="24"/>
      <c r="H446" s="24"/>
      <c r="I446" s="24"/>
      <c r="J446" s="24"/>
      <c r="K446" s="24"/>
      <c r="L446" s="24"/>
      <c r="M446" s="24"/>
      <c r="N446" s="24"/>
      <c r="O446" s="24">
        <v>4876.875</v>
      </c>
      <c r="P446" s="24">
        <v>4876.875</v>
      </c>
      <c r="Q446" s="24"/>
      <c r="R446" s="24"/>
      <c r="S446" s="24"/>
      <c r="T446" s="22"/>
      <c r="U446" s="22"/>
    </row>
    <row r="447" spans="1:23" ht="56.25" hidden="1">
      <c r="A447" s="243"/>
      <c r="B447" s="49" t="s">
        <v>621</v>
      </c>
      <c r="C447" s="50">
        <v>7445420</v>
      </c>
      <c r="D447" s="22">
        <v>3000</v>
      </c>
      <c r="E447" s="24">
        <v>3000</v>
      </c>
      <c r="F447" s="24"/>
      <c r="G447" s="24"/>
      <c r="H447" s="24"/>
      <c r="I447" s="24"/>
      <c r="J447" s="24"/>
      <c r="K447" s="24"/>
      <c r="L447" s="24"/>
      <c r="M447" s="24"/>
      <c r="N447" s="24"/>
      <c r="O447" s="24">
        <v>3000</v>
      </c>
      <c r="P447" s="24"/>
      <c r="Q447" s="24"/>
      <c r="R447" s="24"/>
      <c r="S447" s="24"/>
      <c r="T447" s="22"/>
      <c r="U447" s="22"/>
    </row>
    <row r="448" spans="1:23" ht="22.5" hidden="1">
      <c r="A448" s="243"/>
      <c r="B448" s="33" t="s">
        <v>622</v>
      </c>
      <c r="C448" s="51" t="s">
        <v>623</v>
      </c>
      <c r="D448" s="22"/>
      <c r="E448" s="24">
        <v>3590.3960000000002</v>
      </c>
      <c r="F448" s="24"/>
      <c r="G448" s="24"/>
      <c r="H448" s="24"/>
      <c r="I448" s="24"/>
      <c r="J448" s="24"/>
      <c r="K448" s="24"/>
      <c r="L448" s="24"/>
      <c r="M448" s="24"/>
      <c r="N448" s="24"/>
      <c r="O448" s="24">
        <v>3590.3960000000002</v>
      </c>
      <c r="P448" s="24"/>
      <c r="Q448" s="24"/>
      <c r="R448" s="24"/>
      <c r="S448" s="24"/>
      <c r="T448" s="22"/>
      <c r="U448" s="22"/>
    </row>
    <row r="449" spans="1:21" s="46" customFormat="1" hidden="1">
      <c r="A449" s="37"/>
      <c r="B449" s="154" t="s">
        <v>309</v>
      </c>
      <c r="C449" s="38"/>
      <c r="D449" s="39">
        <v>46530</v>
      </c>
      <c r="E449" s="61">
        <v>2898.9739999999997</v>
      </c>
      <c r="F449" s="61">
        <v>2695.5629999999996</v>
      </c>
      <c r="G449" s="61">
        <v>0</v>
      </c>
      <c r="H449" s="61">
        <v>0</v>
      </c>
      <c r="I449" s="61">
        <v>0</v>
      </c>
      <c r="J449" s="61">
        <v>0</v>
      </c>
      <c r="K449" s="61">
        <v>82.197999999999993</v>
      </c>
      <c r="L449" s="61">
        <v>0</v>
      </c>
      <c r="M449" s="61">
        <v>0</v>
      </c>
      <c r="N449" s="61">
        <v>0</v>
      </c>
      <c r="O449" s="61">
        <v>121.21300000000001</v>
      </c>
      <c r="P449" s="61">
        <v>121.21300000000001</v>
      </c>
      <c r="Q449" s="61">
        <v>0</v>
      </c>
      <c r="R449" s="61">
        <v>0</v>
      </c>
      <c r="S449" s="61">
        <v>0</v>
      </c>
      <c r="T449" s="39">
        <v>0</v>
      </c>
      <c r="U449" s="39"/>
    </row>
    <row r="450" spans="1:21" ht="22.5" hidden="1">
      <c r="A450" s="243"/>
      <c r="B450" s="33" t="s">
        <v>624</v>
      </c>
      <c r="C450" s="34">
        <v>7648753</v>
      </c>
      <c r="D450" s="44">
        <v>1260</v>
      </c>
      <c r="E450" s="24">
        <v>80.959000000000003</v>
      </c>
      <c r="F450" s="24">
        <v>80.959000000000003</v>
      </c>
      <c r="G450" s="24"/>
      <c r="H450" s="24"/>
      <c r="I450" s="24"/>
      <c r="J450" s="24"/>
      <c r="K450" s="24"/>
      <c r="L450" s="24"/>
      <c r="M450" s="24"/>
      <c r="N450" s="24"/>
      <c r="O450" s="24"/>
      <c r="P450" s="24"/>
      <c r="Q450" s="24"/>
      <c r="R450" s="24"/>
      <c r="S450" s="24"/>
      <c r="T450" s="22"/>
      <c r="U450" s="22"/>
    </row>
    <row r="451" spans="1:21" ht="22.5" hidden="1">
      <c r="A451" s="243"/>
      <c r="B451" s="33" t="s">
        <v>625</v>
      </c>
      <c r="C451" s="34">
        <v>7648754</v>
      </c>
      <c r="D451" s="44">
        <v>1260</v>
      </c>
      <c r="E451" s="24">
        <v>89.652000000000001</v>
      </c>
      <c r="F451" s="24">
        <v>89.652000000000001</v>
      </c>
      <c r="G451" s="24"/>
      <c r="H451" s="24"/>
      <c r="I451" s="24"/>
      <c r="J451" s="24"/>
      <c r="K451" s="24"/>
      <c r="L451" s="24"/>
      <c r="M451" s="24"/>
      <c r="N451" s="24"/>
      <c r="O451" s="24"/>
      <c r="P451" s="24"/>
      <c r="Q451" s="24"/>
      <c r="R451" s="24"/>
      <c r="S451" s="24"/>
      <c r="T451" s="22"/>
      <c r="U451" s="22"/>
    </row>
    <row r="452" spans="1:21" ht="22.5" hidden="1">
      <c r="A452" s="243"/>
      <c r="B452" s="33" t="s">
        <v>626</v>
      </c>
      <c r="C452" s="34">
        <v>7648755</v>
      </c>
      <c r="D452" s="44">
        <v>1260</v>
      </c>
      <c r="E452" s="24">
        <v>92.03</v>
      </c>
      <c r="F452" s="24">
        <v>92.03</v>
      </c>
      <c r="G452" s="24"/>
      <c r="H452" s="24"/>
      <c r="I452" s="24"/>
      <c r="J452" s="24"/>
      <c r="K452" s="24"/>
      <c r="L452" s="24"/>
      <c r="M452" s="24"/>
      <c r="N452" s="24"/>
      <c r="O452" s="24"/>
      <c r="P452" s="24"/>
      <c r="Q452" s="24"/>
      <c r="R452" s="24"/>
      <c r="S452" s="24"/>
      <c r="T452" s="22"/>
      <c r="U452" s="22"/>
    </row>
    <row r="453" spans="1:21" ht="22.5" hidden="1">
      <c r="A453" s="243"/>
      <c r="B453" s="33" t="s">
        <v>627</v>
      </c>
      <c r="C453" s="34">
        <v>7648756</v>
      </c>
      <c r="D453" s="44">
        <v>1260</v>
      </c>
      <c r="E453" s="24">
        <v>91.082999999999998</v>
      </c>
      <c r="F453" s="24">
        <v>91.082999999999998</v>
      </c>
      <c r="G453" s="24"/>
      <c r="H453" s="24"/>
      <c r="I453" s="24"/>
      <c r="J453" s="24"/>
      <c r="K453" s="24"/>
      <c r="L453" s="24"/>
      <c r="M453" s="24"/>
      <c r="N453" s="24"/>
      <c r="O453" s="24"/>
      <c r="P453" s="24"/>
      <c r="Q453" s="24"/>
      <c r="R453" s="24"/>
      <c r="S453" s="24"/>
      <c r="T453" s="22"/>
      <c r="U453" s="22"/>
    </row>
    <row r="454" spans="1:21" ht="22.5" hidden="1">
      <c r="A454" s="243"/>
      <c r="B454" s="33" t="s">
        <v>628</v>
      </c>
      <c r="C454" s="34">
        <v>7649425</v>
      </c>
      <c r="D454" s="44">
        <v>7560</v>
      </c>
      <c r="E454" s="24">
        <v>301.024</v>
      </c>
      <c r="F454" s="24">
        <v>301.024</v>
      </c>
      <c r="G454" s="24"/>
      <c r="H454" s="24"/>
      <c r="I454" s="24"/>
      <c r="J454" s="24"/>
      <c r="K454" s="24"/>
      <c r="L454" s="24"/>
      <c r="M454" s="24"/>
      <c r="N454" s="24"/>
      <c r="O454" s="24"/>
      <c r="P454" s="24"/>
      <c r="Q454" s="24"/>
      <c r="R454" s="24"/>
      <c r="S454" s="24"/>
      <c r="T454" s="22"/>
      <c r="U454" s="22"/>
    </row>
    <row r="455" spans="1:21" hidden="1">
      <c r="A455" s="243"/>
      <c r="B455" s="33" t="s">
        <v>629</v>
      </c>
      <c r="C455" s="34">
        <v>7648949</v>
      </c>
      <c r="D455" s="44">
        <v>1260</v>
      </c>
      <c r="E455" s="24">
        <v>91.537000000000006</v>
      </c>
      <c r="F455" s="24">
        <v>91.537000000000006</v>
      </c>
      <c r="G455" s="24"/>
      <c r="H455" s="24"/>
      <c r="I455" s="24"/>
      <c r="J455" s="24"/>
      <c r="K455" s="24"/>
      <c r="L455" s="24"/>
      <c r="M455" s="24"/>
      <c r="N455" s="24"/>
      <c r="O455" s="24"/>
      <c r="P455" s="24"/>
      <c r="Q455" s="24"/>
      <c r="R455" s="24"/>
      <c r="S455" s="24"/>
      <c r="T455" s="22"/>
      <c r="U455" s="22"/>
    </row>
    <row r="456" spans="1:21" hidden="1">
      <c r="A456" s="243"/>
      <c r="B456" s="33" t="s">
        <v>630</v>
      </c>
      <c r="C456" s="34">
        <v>7648948</v>
      </c>
      <c r="D456" s="44">
        <v>1260</v>
      </c>
      <c r="E456" s="24">
        <v>82.466999999999999</v>
      </c>
      <c r="F456" s="24">
        <v>82.466999999999999</v>
      </c>
      <c r="G456" s="24"/>
      <c r="H456" s="24"/>
      <c r="I456" s="24"/>
      <c r="J456" s="24"/>
      <c r="K456" s="24"/>
      <c r="L456" s="24"/>
      <c r="M456" s="24"/>
      <c r="N456" s="24"/>
      <c r="O456" s="24"/>
      <c r="P456" s="24"/>
      <c r="Q456" s="24"/>
      <c r="R456" s="24"/>
      <c r="S456" s="24"/>
      <c r="T456" s="22"/>
      <c r="U456" s="22"/>
    </row>
    <row r="457" spans="1:21" hidden="1">
      <c r="A457" s="243"/>
      <c r="B457" s="33" t="s">
        <v>631</v>
      </c>
      <c r="C457" s="34">
        <v>7649427</v>
      </c>
      <c r="D457" s="44">
        <v>2880</v>
      </c>
      <c r="E457" s="24">
        <v>187.202</v>
      </c>
      <c r="F457" s="24">
        <v>187.202</v>
      </c>
      <c r="G457" s="24"/>
      <c r="H457" s="24"/>
      <c r="I457" s="24"/>
      <c r="J457" s="24"/>
      <c r="K457" s="24"/>
      <c r="L457" s="24"/>
      <c r="M457" s="24"/>
      <c r="N457" s="24"/>
      <c r="O457" s="24"/>
      <c r="P457" s="24"/>
      <c r="Q457" s="24"/>
      <c r="R457" s="24"/>
      <c r="S457" s="24"/>
      <c r="T457" s="22"/>
      <c r="U457" s="22"/>
    </row>
    <row r="458" spans="1:21" hidden="1">
      <c r="A458" s="243"/>
      <c r="B458" s="33" t="s">
        <v>632</v>
      </c>
      <c r="C458" s="34">
        <v>7647895</v>
      </c>
      <c r="D458" s="44">
        <v>1440</v>
      </c>
      <c r="E458" s="24">
        <v>104.514</v>
      </c>
      <c r="F458" s="24">
        <v>104.514</v>
      </c>
      <c r="G458" s="24"/>
      <c r="H458" s="24"/>
      <c r="I458" s="24"/>
      <c r="J458" s="24"/>
      <c r="K458" s="24"/>
      <c r="L458" s="24"/>
      <c r="M458" s="24"/>
      <c r="N458" s="24"/>
      <c r="O458" s="24"/>
      <c r="P458" s="24"/>
      <c r="Q458" s="24"/>
      <c r="R458" s="24"/>
      <c r="S458" s="24"/>
      <c r="T458" s="22"/>
      <c r="U458" s="22"/>
    </row>
    <row r="459" spans="1:21" hidden="1">
      <c r="A459" s="243"/>
      <c r="B459" s="33" t="s">
        <v>633</v>
      </c>
      <c r="C459" s="34">
        <v>7647894</v>
      </c>
      <c r="D459" s="44">
        <v>2160</v>
      </c>
      <c r="E459" s="24">
        <v>138.05199999999999</v>
      </c>
      <c r="F459" s="24">
        <v>138.05199999999999</v>
      </c>
      <c r="G459" s="24"/>
      <c r="H459" s="24"/>
      <c r="I459" s="24"/>
      <c r="J459" s="24"/>
      <c r="K459" s="24"/>
      <c r="L459" s="24"/>
      <c r="M459" s="24"/>
      <c r="N459" s="24"/>
      <c r="O459" s="24"/>
      <c r="P459" s="24"/>
      <c r="Q459" s="24"/>
      <c r="R459" s="24"/>
      <c r="S459" s="24"/>
      <c r="T459" s="22"/>
      <c r="U459" s="22"/>
    </row>
    <row r="460" spans="1:21" hidden="1">
      <c r="A460" s="243"/>
      <c r="B460" s="33" t="s">
        <v>634</v>
      </c>
      <c r="C460" s="34">
        <v>7648953</v>
      </c>
      <c r="D460" s="44">
        <v>1440</v>
      </c>
      <c r="E460" s="24">
        <v>81.563999999999993</v>
      </c>
      <c r="F460" s="24">
        <v>81.563999999999993</v>
      </c>
      <c r="G460" s="24"/>
      <c r="H460" s="24"/>
      <c r="I460" s="24"/>
      <c r="J460" s="24"/>
      <c r="K460" s="24"/>
      <c r="L460" s="24"/>
      <c r="M460" s="24"/>
      <c r="N460" s="24"/>
      <c r="O460" s="24"/>
      <c r="P460" s="24"/>
      <c r="Q460" s="24"/>
      <c r="R460" s="24"/>
      <c r="S460" s="24"/>
      <c r="T460" s="22"/>
      <c r="U460" s="22"/>
    </row>
    <row r="461" spans="1:21" hidden="1">
      <c r="A461" s="243"/>
      <c r="B461" s="33" t="s">
        <v>635</v>
      </c>
      <c r="C461" s="34">
        <v>7649426</v>
      </c>
      <c r="D461" s="44">
        <v>4320</v>
      </c>
      <c r="E461" s="24">
        <v>228.44300000000001</v>
      </c>
      <c r="F461" s="24">
        <v>228.44300000000001</v>
      </c>
      <c r="G461" s="24"/>
      <c r="H461" s="24"/>
      <c r="I461" s="24"/>
      <c r="J461" s="24"/>
      <c r="K461" s="24"/>
      <c r="L461" s="24"/>
      <c r="M461" s="24"/>
      <c r="N461" s="24"/>
      <c r="O461" s="24"/>
      <c r="P461" s="24"/>
      <c r="Q461" s="24"/>
      <c r="R461" s="24"/>
      <c r="S461" s="24"/>
      <c r="T461" s="22"/>
      <c r="U461" s="22"/>
    </row>
    <row r="462" spans="1:21" hidden="1">
      <c r="A462" s="243"/>
      <c r="B462" s="33" t="s">
        <v>636</v>
      </c>
      <c r="C462" s="34">
        <v>7648952</v>
      </c>
      <c r="D462" s="44">
        <v>4320</v>
      </c>
      <c r="E462" s="24">
        <v>215.797</v>
      </c>
      <c r="F462" s="24">
        <v>215.797</v>
      </c>
      <c r="G462" s="24"/>
      <c r="H462" s="24"/>
      <c r="I462" s="24"/>
      <c r="J462" s="24"/>
      <c r="K462" s="24"/>
      <c r="L462" s="24"/>
      <c r="M462" s="24"/>
      <c r="N462" s="24"/>
      <c r="O462" s="24"/>
      <c r="P462" s="24"/>
      <c r="Q462" s="24"/>
      <c r="R462" s="24"/>
      <c r="S462" s="24"/>
      <c r="T462" s="22"/>
      <c r="U462" s="22"/>
    </row>
    <row r="463" spans="1:21" hidden="1">
      <c r="A463" s="243"/>
      <c r="B463" s="33" t="s">
        <v>637</v>
      </c>
      <c r="C463" s="34">
        <v>7648964</v>
      </c>
      <c r="D463" s="44">
        <v>4500</v>
      </c>
      <c r="E463" s="24">
        <v>317.16500000000002</v>
      </c>
      <c r="F463" s="24">
        <v>317.16500000000002</v>
      </c>
      <c r="G463" s="24"/>
      <c r="H463" s="24"/>
      <c r="I463" s="24"/>
      <c r="J463" s="24"/>
      <c r="K463" s="24"/>
      <c r="L463" s="24"/>
      <c r="M463" s="24"/>
      <c r="N463" s="24"/>
      <c r="O463" s="24"/>
      <c r="P463" s="24"/>
      <c r="Q463" s="24"/>
      <c r="R463" s="24"/>
      <c r="S463" s="24"/>
      <c r="T463" s="22"/>
      <c r="U463" s="22"/>
    </row>
    <row r="464" spans="1:21" hidden="1">
      <c r="A464" s="243"/>
      <c r="B464" s="33" t="s">
        <v>638</v>
      </c>
      <c r="C464" s="34">
        <v>7648963</v>
      </c>
      <c r="D464" s="44">
        <v>3600</v>
      </c>
      <c r="E464" s="24">
        <v>243.10900000000001</v>
      </c>
      <c r="F464" s="24">
        <v>243.10900000000001</v>
      </c>
      <c r="G464" s="24"/>
      <c r="H464" s="24"/>
      <c r="I464" s="24"/>
      <c r="J464" s="24"/>
      <c r="K464" s="24"/>
      <c r="L464" s="24"/>
      <c r="M464" s="24"/>
      <c r="N464" s="24"/>
      <c r="O464" s="24"/>
      <c r="P464" s="24"/>
      <c r="Q464" s="24"/>
      <c r="R464" s="24"/>
      <c r="S464" s="24"/>
      <c r="T464" s="22"/>
      <c r="U464" s="22"/>
    </row>
    <row r="465" spans="1:21" hidden="1">
      <c r="A465" s="243"/>
      <c r="B465" s="33" t="s">
        <v>639</v>
      </c>
      <c r="C465" s="34">
        <v>7648951</v>
      </c>
      <c r="D465" s="44">
        <v>2250</v>
      </c>
      <c r="E465" s="24">
        <v>128.035</v>
      </c>
      <c r="F465" s="24">
        <v>128.035</v>
      </c>
      <c r="G465" s="24"/>
      <c r="H465" s="24"/>
      <c r="I465" s="24"/>
      <c r="J465" s="24"/>
      <c r="K465" s="24"/>
      <c r="L465" s="24"/>
      <c r="M465" s="24"/>
      <c r="N465" s="24"/>
      <c r="O465" s="24"/>
      <c r="P465" s="24"/>
      <c r="Q465" s="24"/>
      <c r="R465" s="24"/>
      <c r="S465" s="24"/>
      <c r="T465" s="22"/>
      <c r="U465" s="22"/>
    </row>
    <row r="466" spans="1:21" hidden="1">
      <c r="A466" s="243"/>
      <c r="B466" s="33" t="s">
        <v>640</v>
      </c>
      <c r="C466" s="34">
        <v>7648950</v>
      </c>
      <c r="D466" s="44">
        <v>4500</v>
      </c>
      <c r="E466" s="24">
        <v>222.93</v>
      </c>
      <c r="F466" s="24">
        <v>222.93</v>
      </c>
      <c r="G466" s="24"/>
      <c r="H466" s="24"/>
      <c r="I466" s="24"/>
      <c r="J466" s="24"/>
      <c r="K466" s="24"/>
      <c r="L466" s="24"/>
      <c r="M466" s="24"/>
      <c r="N466" s="24"/>
      <c r="O466" s="24"/>
      <c r="P466" s="24"/>
      <c r="Q466" s="24"/>
      <c r="R466" s="24"/>
      <c r="S466" s="24"/>
      <c r="T466" s="22"/>
      <c r="U466" s="22"/>
    </row>
    <row r="467" spans="1:21" hidden="1">
      <c r="A467" s="243"/>
      <c r="B467" s="49" t="s">
        <v>641</v>
      </c>
      <c r="C467" s="34">
        <v>7461407</v>
      </c>
      <c r="D467" s="65"/>
      <c r="E467" s="24">
        <v>9.2370000000000001</v>
      </c>
      <c r="F467" s="24"/>
      <c r="G467" s="24"/>
      <c r="H467" s="24"/>
      <c r="I467" s="24"/>
      <c r="J467" s="24"/>
      <c r="K467" s="24"/>
      <c r="L467" s="24"/>
      <c r="M467" s="24"/>
      <c r="N467" s="24"/>
      <c r="O467" s="24">
        <v>9.2370000000000001</v>
      </c>
      <c r="P467" s="24">
        <v>9.2370000000000001</v>
      </c>
      <c r="Q467" s="24"/>
      <c r="R467" s="24"/>
      <c r="S467" s="24"/>
      <c r="T467" s="22"/>
      <c r="U467" s="22"/>
    </row>
    <row r="468" spans="1:21" ht="22.5" hidden="1">
      <c r="A468" s="243"/>
      <c r="B468" s="49" t="s">
        <v>642</v>
      </c>
      <c r="C468" s="34">
        <v>7659323</v>
      </c>
      <c r="D468" s="65"/>
      <c r="E468" s="24">
        <v>82.197999999999993</v>
      </c>
      <c r="F468" s="24"/>
      <c r="G468" s="24"/>
      <c r="H468" s="24"/>
      <c r="I468" s="24"/>
      <c r="J468" s="24"/>
      <c r="K468" s="24">
        <v>82.197999999999993</v>
      </c>
      <c r="L468" s="24"/>
      <c r="M468" s="24"/>
      <c r="N468" s="24"/>
      <c r="O468" s="24"/>
      <c r="P468" s="24"/>
      <c r="Q468" s="24"/>
      <c r="R468" s="24"/>
      <c r="S468" s="24"/>
      <c r="T468" s="22"/>
      <c r="U468" s="22"/>
    </row>
    <row r="469" spans="1:21" ht="22.5" hidden="1">
      <c r="A469" s="243"/>
      <c r="B469" s="49" t="s">
        <v>643</v>
      </c>
      <c r="C469" s="34">
        <v>7520960</v>
      </c>
      <c r="D469" s="65"/>
      <c r="E469" s="24">
        <v>4.42</v>
      </c>
      <c r="F469" s="24"/>
      <c r="G469" s="24"/>
      <c r="H469" s="24"/>
      <c r="I469" s="24"/>
      <c r="J469" s="24"/>
      <c r="K469" s="24"/>
      <c r="L469" s="24"/>
      <c r="M469" s="24"/>
      <c r="N469" s="24"/>
      <c r="O469" s="24">
        <v>4.42</v>
      </c>
      <c r="P469" s="24">
        <v>4.42</v>
      </c>
      <c r="Q469" s="24"/>
      <c r="R469" s="24"/>
      <c r="S469" s="24"/>
      <c r="T469" s="22"/>
      <c r="U469" s="22"/>
    </row>
    <row r="470" spans="1:21" hidden="1">
      <c r="A470" s="243"/>
      <c r="B470" s="49" t="s">
        <v>644</v>
      </c>
      <c r="C470" s="34">
        <v>7561968</v>
      </c>
      <c r="D470" s="65"/>
      <c r="E470" s="24">
        <v>11.172000000000001</v>
      </c>
      <c r="F470" s="24"/>
      <c r="G470" s="24"/>
      <c r="H470" s="24"/>
      <c r="I470" s="24"/>
      <c r="J470" s="24"/>
      <c r="K470" s="24"/>
      <c r="L470" s="24"/>
      <c r="M470" s="24"/>
      <c r="N470" s="24"/>
      <c r="O470" s="24">
        <v>11.172000000000001</v>
      </c>
      <c r="P470" s="24">
        <v>11.172000000000001</v>
      </c>
      <c r="Q470" s="24"/>
      <c r="R470" s="24"/>
      <c r="S470" s="24"/>
      <c r="T470" s="22"/>
      <c r="U470" s="22"/>
    </row>
    <row r="471" spans="1:21" ht="22.5" hidden="1">
      <c r="A471" s="243"/>
      <c r="B471" s="49" t="s">
        <v>645</v>
      </c>
      <c r="C471" s="34">
        <v>7592774</v>
      </c>
      <c r="D471" s="65"/>
      <c r="E471" s="24">
        <v>13.928000000000001</v>
      </c>
      <c r="F471" s="24"/>
      <c r="G471" s="24"/>
      <c r="H471" s="24"/>
      <c r="I471" s="24"/>
      <c r="J471" s="24"/>
      <c r="K471" s="24"/>
      <c r="L471" s="24"/>
      <c r="M471" s="24"/>
      <c r="N471" s="24"/>
      <c r="O471" s="24">
        <v>13.928000000000001</v>
      </c>
      <c r="P471" s="24">
        <v>13.928000000000001</v>
      </c>
      <c r="Q471" s="24"/>
      <c r="R471" s="24"/>
      <c r="S471" s="24"/>
      <c r="T471" s="22"/>
      <c r="U471" s="22"/>
    </row>
    <row r="472" spans="1:21" ht="22.5" hidden="1">
      <c r="A472" s="243"/>
      <c r="B472" s="49" t="s">
        <v>646</v>
      </c>
      <c r="C472" s="34">
        <v>7598644</v>
      </c>
      <c r="D472" s="65"/>
      <c r="E472" s="24">
        <v>32.456000000000003</v>
      </c>
      <c r="F472" s="24"/>
      <c r="G472" s="24"/>
      <c r="H472" s="24"/>
      <c r="I472" s="24"/>
      <c r="J472" s="24"/>
      <c r="K472" s="24"/>
      <c r="L472" s="24"/>
      <c r="M472" s="24"/>
      <c r="N472" s="24"/>
      <c r="O472" s="24">
        <v>32.456000000000003</v>
      </c>
      <c r="P472" s="24">
        <v>32.456000000000003</v>
      </c>
      <c r="Q472" s="24"/>
      <c r="R472" s="24"/>
      <c r="S472" s="24"/>
      <c r="T472" s="22"/>
      <c r="U472" s="22"/>
    </row>
    <row r="473" spans="1:21" ht="22.5" hidden="1">
      <c r="A473" s="243"/>
      <c r="B473" s="155" t="s">
        <v>647</v>
      </c>
      <c r="C473" s="156">
        <v>7602323</v>
      </c>
      <c r="D473" s="65"/>
      <c r="E473" s="24">
        <v>50</v>
      </c>
      <c r="F473" s="24"/>
      <c r="G473" s="24"/>
      <c r="H473" s="24"/>
      <c r="I473" s="24"/>
      <c r="J473" s="24"/>
      <c r="K473" s="24"/>
      <c r="L473" s="24"/>
      <c r="M473" s="24"/>
      <c r="N473" s="24"/>
      <c r="O473" s="24">
        <v>50</v>
      </c>
      <c r="P473" s="24">
        <v>50</v>
      </c>
      <c r="Q473" s="24"/>
      <c r="R473" s="24"/>
      <c r="S473" s="24"/>
      <c r="T473" s="22"/>
      <c r="U473" s="22"/>
    </row>
    <row r="474" spans="1:21">
      <c r="A474" s="243">
        <v>42</v>
      </c>
      <c r="B474" s="18" t="s">
        <v>648</v>
      </c>
      <c r="C474" s="18"/>
      <c r="D474" s="19">
        <v>191841.1</v>
      </c>
      <c r="E474" s="124">
        <v>237586.72776499999</v>
      </c>
      <c r="F474" s="124">
        <v>5237.2430000000004</v>
      </c>
      <c r="G474" s="124">
        <v>0</v>
      </c>
      <c r="H474" s="124">
        <v>0</v>
      </c>
      <c r="I474" s="124">
        <v>0</v>
      </c>
      <c r="J474" s="124">
        <v>0</v>
      </c>
      <c r="K474" s="124">
        <v>2996</v>
      </c>
      <c r="L474" s="124">
        <v>0</v>
      </c>
      <c r="M474" s="124">
        <v>0</v>
      </c>
      <c r="N474" s="124">
        <v>2567.3679999999999</v>
      </c>
      <c r="O474" s="124">
        <v>226786.11676499998</v>
      </c>
      <c r="P474" s="124">
        <v>100015.872</v>
      </c>
      <c r="Q474" s="124">
        <v>5562.7850000000008</v>
      </c>
      <c r="R474" s="124">
        <v>0</v>
      </c>
      <c r="S474" s="124">
        <v>0</v>
      </c>
      <c r="T474" s="19">
        <v>0</v>
      </c>
      <c r="U474" s="22"/>
    </row>
    <row r="475" spans="1:21" s="41" customFormat="1">
      <c r="A475" s="91" t="s">
        <v>16</v>
      </c>
      <c r="B475" s="92" t="s">
        <v>183</v>
      </c>
      <c r="C475" s="92"/>
      <c r="D475" s="93">
        <v>165125.1</v>
      </c>
      <c r="E475" s="489">
        <v>152428.59399999998</v>
      </c>
      <c r="F475" s="489">
        <v>5237.2430000000004</v>
      </c>
      <c r="G475" s="489">
        <v>0</v>
      </c>
      <c r="H475" s="489">
        <v>0</v>
      </c>
      <c r="I475" s="489">
        <v>0</v>
      </c>
      <c r="J475" s="489">
        <v>0</v>
      </c>
      <c r="K475" s="489">
        <v>2996</v>
      </c>
      <c r="L475" s="489">
        <v>0</v>
      </c>
      <c r="M475" s="489">
        <v>0</v>
      </c>
      <c r="N475" s="489">
        <v>0</v>
      </c>
      <c r="O475" s="489">
        <v>144195.351</v>
      </c>
      <c r="P475" s="489">
        <v>100015.872</v>
      </c>
      <c r="Q475" s="489">
        <v>5562.7850000000008</v>
      </c>
      <c r="R475" s="489">
        <v>0</v>
      </c>
      <c r="S475" s="489">
        <v>0</v>
      </c>
      <c r="T475" s="93">
        <v>0</v>
      </c>
      <c r="U475" s="93"/>
    </row>
    <row r="476" spans="1:21" s="41" customFormat="1" hidden="1">
      <c r="A476" s="37"/>
      <c r="B476" s="38" t="s">
        <v>294</v>
      </c>
      <c r="C476" s="38"/>
      <c r="D476" s="39">
        <v>23659.1</v>
      </c>
      <c r="E476" s="61">
        <v>22333.869000000002</v>
      </c>
      <c r="F476" s="61">
        <v>4241.5730000000003</v>
      </c>
      <c r="G476" s="61">
        <v>0</v>
      </c>
      <c r="H476" s="61">
        <v>0</v>
      </c>
      <c r="I476" s="61">
        <v>0</v>
      </c>
      <c r="J476" s="61">
        <v>0</v>
      </c>
      <c r="K476" s="61">
        <v>0</v>
      </c>
      <c r="L476" s="61">
        <v>0</v>
      </c>
      <c r="M476" s="61">
        <v>0</v>
      </c>
      <c r="N476" s="61">
        <v>0</v>
      </c>
      <c r="O476" s="61">
        <v>18092.296000000002</v>
      </c>
      <c r="P476" s="61">
        <v>9966.0390000000007</v>
      </c>
      <c r="Q476" s="61">
        <v>1233.8230000000001</v>
      </c>
      <c r="R476" s="61">
        <v>0</v>
      </c>
      <c r="S476" s="61">
        <v>0</v>
      </c>
      <c r="T476" s="39">
        <v>0</v>
      </c>
      <c r="U476" s="39"/>
    </row>
    <row r="477" spans="1:21" ht="22.5" hidden="1">
      <c r="A477" s="243"/>
      <c r="B477" s="120" t="s">
        <v>649</v>
      </c>
      <c r="C477" s="121">
        <v>7473652</v>
      </c>
      <c r="D477" s="44">
        <v>900</v>
      </c>
      <c r="E477" s="24">
        <v>900</v>
      </c>
      <c r="F477" s="24">
        <v>900</v>
      </c>
      <c r="G477" s="24"/>
      <c r="H477" s="24"/>
      <c r="I477" s="24"/>
      <c r="J477" s="24"/>
      <c r="K477" s="24"/>
      <c r="L477" s="24"/>
      <c r="M477" s="24"/>
      <c r="N477" s="24"/>
      <c r="O477" s="24"/>
      <c r="P477" s="24"/>
      <c r="Q477" s="24"/>
      <c r="R477" s="24"/>
      <c r="S477" s="24"/>
      <c r="T477" s="22"/>
      <c r="U477" s="22"/>
    </row>
    <row r="478" spans="1:21" hidden="1">
      <c r="A478" s="243"/>
      <c r="B478" s="120" t="s">
        <v>650</v>
      </c>
      <c r="C478" s="121">
        <v>7498516</v>
      </c>
      <c r="D478" s="44">
        <v>222</v>
      </c>
      <c r="E478" s="24">
        <v>349.5</v>
      </c>
      <c r="F478" s="24">
        <v>349.5</v>
      </c>
      <c r="G478" s="24"/>
      <c r="H478" s="24"/>
      <c r="I478" s="24"/>
      <c r="J478" s="24"/>
      <c r="K478" s="24"/>
      <c r="L478" s="24"/>
      <c r="M478" s="24"/>
      <c r="N478" s="24"/>
      <c r="O478" s="24"/>
      <c r="P478" s="24"/>
      <c r="Q478" s="24"/>
      <c r="R478" s="24"/>
      <c r="S478" s="24"/>
      <c r="T478" s="22"/>
      <c r="U478" s="22"/>
    </row>
    <row r="479" spans="1:21" ht="22.5" hidden="1">
      <c r="A479" s="243"/>
      <c r="B479" s="120" t="s">
        <v>651</v>
      </c>
      <c r="C479" s="121">
        <v>7308577</v>
      </c>
      <c r="D479" s="44">
        <v>600</v>
      </c>
      <c r="E479" s="24">
        <v>600</v>
      </c>
      <c r="F479" s="24">
        <v>600</v>
      </c>
      <c r="G479" s="24"/>
      <c r="H479" s="24"/>
      <c r="I479" s="24"/>
      <c r="J479" s="24"/>
      <c r="K479" s="24"/>
      <c r="L479" s="24"/>
      <c r="M479" s="24"/>
      <c r="N479" s="24"/>
      <c r="O479" s="24"/>
      <c r="P479" s="24"/>
      <c r="Q479" s="24"/>
      <c r="R479" s="24"/>
      <c r="S479" s="24"/>
      <c r="T479" s="22"/>
      <c r="U479" s="22"/>
    </row>
    <row r="480" spans="1:21" ht="22.5" hidden="1">
      <c r="A480" s="243"/>
      <c r="B480" s="120" t="s">
        <v>652</v>
      </c>
      <c r="C480" s="121">
        <v>7309823</v>
      </c>
      <c r="D480" s="44">
        <v>800</v>
      </c>
      <c r="E480" s="24">
        <v>800</v>
      </c>
      <c r="F480" s="24">
        <v>800</v>
      </c>
      <c r="G480" s="24"/>
      <c r="H480" s="24"/>
      <c r="I480" s="24"/>
      <c r="J480" s="24"/>
      <c r="K480" s="24"/>
      <c r="L480" s="24"/>
      <c r="M480" s="24"/>
      <c r="N480" s="24"/>
      <c r="O480" s="24"/>
      <c r="P480" s="24"/>
      <c r="Q480" s="24"/>
      <c r="R480" s="24"/>
      <c r="S480" s="24"/>
      <c r="T480" s="22"/>
      <c r="U480" s="22"/>
    </row>
    <row r="481" spans="1:21" hidden="1">
      <c r="A481" s="243"/>
      <c r="B481" s="120" t="s">
        <v>653</v>
      </c>
      <c r="C481" s="122">
        <v>7623867</v>
      </c>
      <c r="D481" s="44">
        <v>900</v>
      </c>
      <c r="E481" s="24">
        <v>150</v>
      </c>
      <c r="F481" s="24">
        <v>150</v>
      </c>
      <c r="G481" s="24"/>
      <c r="H481" s="24"/>
      <c r="I481" s="24"/>
      <c r="J481" s="24"/>
      <c r="K481" s="24"/>
      <c r="L481" s="24"/>
      <c r="M481" s="24"/>
      <c r="N481" s="24"/>
      <c r="O481" s="24"/>
      <c r="P481" s="24"/>
      <c r="Q481" s="24"/>
      <c r="R481" s="24"/>
      <c r="S481" s="24"/>
      <c r="T481" s="22"/>
      <c r="U481" s="22"/>
    </row>
    <row r="482" spans="1:21" hidden="1">
      <c r="A482" s="243"/>
      <c r="B482" s="120" t="s">
        <v>654</v>
      </c>
      <c r="C482" s="122">
        <v>7623866</v>
      </c>
      <c r="D482" s="44">
        <v>1400</v>
      </c>
      <c r="E482" s="24">
        <v>1400</v>
      </c>
      <c r="F482" s="24">
        <v>1400</v>
      </c>
      <c r="G482" s="24"/>
      <c r="H482" s="24"/>
      <c r="I482" s="24"/>
      <c r="J482" s="24"/>
      <c r="K482" s="24"/>
      <c r="L482" s="24"/>
      <c r="M482" s="24"/>
      <c r="N482" s="24"/>
      <c r="O482" s="24"/>
      <c r="P482" s="24"/>
      <c r="Q482" s="24"/>
      <c r="R482" s="24"/>
      <c r="S482" s="24"/>
      <c r="T482" s="22"/>
      <c r="U482" s="22"/>
    </row>
    <row r="483" spans="1:21" hidden="1">
      <c r="A483" s="243"/>
      <c r="B483" s="120" t="s">
        <v>655</v>
      </c>
      <c r="C483" s="122">
        <v>7628868</v>
      </c>
      <c r="D483" s="152">
        <v>578</v>
      </c>
      <c r="E483" s="24">
        <v>42.073</v>
      </c>
      <c r="F483" s="24">
        <v>42.073</v>
      </c>
      <c r="G483" s="24"/>
      <c r="H483" s="24"/>
      <c r="I483" s="24"/>
      <c r="J483" s="24"/>
      <c r="K483" s="24"/>
      <c r="L483" s="24"/>
      <c r="M483" s="24"/>
      <c r="N483" s="24"/>
      <c r="O483" s="24"/>
      <c r="P483" s="24"/>
      <c r="Q483" s="24"/>
      <c r="R483" s="24"/>
      <c r="S483" s="24"/>
      <c r="T483" s="22"/>
      <c r="U483" s="22"/>
    </row>
    <row r="484" spans="1:21" ht="56.25" hidden="1">
      <c r="A484" s="243"/>
      <c r="B484" s="102" t="s">
        <v>656</v>
      </c>
      <c r="C484" s="105">
        <v>7539787</v>
      </c>
      <c r="D484" s="44">
        <v>525.27700000000004</v>
      </c>
      <c r="E484" s="24">
        <v>492.43400000000003</v>
      </c>
      <c r="F484" s="24"/>
      <c r="G484" s="24"/>
      <c r="H484" s="24"/>
      <c r="I484" s="24"/>
      <c r="J484" s="24"/>
      <c r="K484" s="24"/>
      <c r="L484" s="24"/>
      <c r="M484" s="24"/>
      <c r="N484" s="24"/>
      <c r="O484" s="24">
        <v>492.43400000000003</v>
      </c>
      <c r="P484" s="24"/>
      <c r="Q484" s="24"/>
      <c r="R484" s="24"/>
      <c r="S484" s="24"/>
      <c r="T484" s="22"/>
      <c r="U484" s="22"/>
    </row>
    <row r="485" spans="1:21" ht="33.75" hidden="1">
      <c r="A485" s="243"/>
      <c r="B485" s="102" t="s">
        <v>657</v>
      </c>
      <c r="C485" s="18"/>
      <c r="D485" s="22">
        <v>100</v>
      </c>
      <c r="E485" s="24">
        <v>0</v>
      </c>
      <c r="F485" s="24"/>
      <c r="G485" s="24"/>
      <c r="H485" s="24"/>
      <c r="I485" s="24"/>
      <c r="J485" s="24"/>
      <c r="K485" s="24"/>
      <c r="L485" s="24"/>
      <c r="M485" s="24"/>
      <c r="N485" s="24"/>
      <c r="O485" s="24"/>
      <c r="P485" s="24"/>
      <c r="Q485" s="24"/>
      <c r="R485" s="24"/>
      <c r="S485" s="24"/>
      <c r="T485" s="22"/>
      <c r="U485" s="22"/>
    </row>
    <row r="486" spans="1:21" ht="22.5" hidden="1">
      <c r="A486" s="243"/>
      <c r="B486" s="102" t="s">
        <v>658</v>
      </c>
      <c r="C486" s="105" t="s">
        <v>659</v>
      </c>
      <c r="D486" s="44">
        <v>2000</v>
      </c>
      <c r="E486" s="482">
        <v>2000</v>
      </c>
      <c r="F486" s="24"/>
      <c r="G486" s="24"/>
      <c r="H486" s="24"/>
      <c r="I486" s="24"/>
      <c r="J486" s="24"/>
      <c r="K486" s="24"/>
      <c r="L486" s="24"/>
      <c r="M486" s="24"/>
      <c r="N486" s="24"/>
      <c r="O486" s="482">
        <v>2000</v>
      </c>
      <c r="P486" s="24"/>
      <c r="Q486" s="24"/>
      <c r="R486" s="24"/>
      <c r="S486" s="24"/>
      <c r="T486" s="22"/>
      <c r="U486" s="22"/>
    </row>
    <row r="487" spans="1:21" ht="22.5" hidden="1">
      <c r="A487" s="243"/>
      <c r="B487" s="102" t="s">
        <v>660</v>
      </c>
      <c r="C487" s="105" t="s">
        <v>661</v>
      </c>
      <c r="D487" s="44">
        <v>1000</v>
      </c>
      <c r="E487" s="482">
        <v>1000</v>
      </c>
      <c r="F487" s="24"/>
      <c r="G487" s="24"/>
      <c r="H487" s="24"/>
      <c r="I487" s="24"/>
      <c r="J487" s="24"/>
      <c r="K487" s="24"/>
      <c r="L487" s="24"/>
      <c r="M487" s="24"/>
      <c r="N487" s="24"/>
      <c r="O487" s="482">
        <v>1000</v>
      </c>
      <c r="P487" s="24"/>
      <c r="Q487" s="24"/>
      <c r="R487" s="24"/>
      <c r="S487" s="24"/>
      <c r="T487" s="22"/>
      <c r="U487" s="22"/>
    </row>
    <row r="488" spans="1:21" hidden="1">
      <c r="A488" s="243"/>
      <c r="B488" s="102" t="s">
        <v>662</v>
      </c>
      <c r="C488" s="105" t="s">
        <v>663</v>
      </c>
      <c r="D488" s="44">
        <v>1400</v>
      </c>
      <c r="E488" s="482">
        <v>1400</v>
      </c>
      <c r="F488" s="24"/>
      <c r="G488" s="24"/>
      <c r="H488" s="24"/>
      <c r="I488" s="24"/>
      <c r="J488" s="24"/>
      <c r="K488" s="24"/>
      <c r="L488" s="24"/>
      <c r="M488" s="24"/>
      <c r="N488" s="24"/>
      <c r="O488" s="482">
        <v>1400</v>
      </c>
      <c r="P488" s="24"/>
      <c r="Q488" s="24"/>
      <c r="R488" s="24"/>
      <c r="S488" s="24"/>
      <c r="T488" s="22"/>
      <c r="U488" s="22"/>
    </row>
    <row r="489" spans="1:21" ht="56.25" hidden="1">
      <c r="A489" s="243"/>
      <c r="B489" s="145" t="s">
        <v>664</v>
      </c>
      <c r="C489" s="146">
        <v>7308587</v>
      </c>
      <c r="D489" s="44">
        <v>143.82300000000001</v>
      </c>
      <c r="E489" s="482">
        <v>143.82300000000001</v>
      </c>
      <c r="F489" s="24"/>
      <c r="G489" s="24"/>
      <c r="H489" s="24"/>
      <c r="I489" s="24"/>
      <c r="J489" s="24"/>
      <c r="K489" s="24"/>
      <c r="L489" s="24"/>
      <c r="M489" s="24"/>
      <c r="N489" s="24"/>
      <c r="O489" s="482">
        <v>143.82300000000001</v>
      </c>
      <c r="P489" s="24"/>
      <c r="Q489" s="482">
        <v>143.82300000000001</v>
      </c>
      <c r="R489" s="24"/>
      <c r="S489" s="24"/>
      <c r="T489" s="22"/>
      <c r="U489" s="22"/>
    </row>
    <row r="490" spans="1:21" ht="22.5" hidden="1">
      <c r="A490" s="243"/>
      <c r="B490" s="49" t="s">
        <v>665</v>
      </c>
      <c r="C490" s="105" t="s">
        <v>666</v>
      </c>
      <c r="D490" s="22">
        <v>1090</v>
      </c>
      <c r="E490" s="24">
        <v>1090</v>
      </c>
      <c r="F490" s="24"/>
      <c r="G490" s="24"/>
      <c r="H490" s="24"/>
      <c r="I490" s="24"/>
      <c r="J490" s="24"/>
      <c r="K490" s="24"/>
      <c r="L490" s="24"/>
      <c r="M490" s="24"/>
      <c r="N490" s="24"/>
      <c r="O490" s="24">
        <v>1090</v>
      </c>
      <c r="P490" s="24"/>
      <c r="Q490" s="24">
        <v>1090</v>
      </c>
      <c r="R490" s="24"/>
      <c r="S490" s="24"/>
      <c r="T490" s="22"/>
      <c r="U490" s="22"/>
    </row>
    <row r="491" spans="1:21" ht="22.5" hidden="1">
      <c r="A491" s="243"/>
      <c r="B491" s="49" t="s">
        <v>667</v>
      </c>
      <c r="C491" s="88">
        <v>7248364</v>
      </c>
      <c r="D491" s="22">
        <v>1500</v>
      </c>
      <c r="E491" s="24">
        <v>1500</v>
      </c>
      <c r="F491" s="24"/>
      <c r="G491" s="24"/>
      <c r="H491" s="24"/>
      <c r="I491" s="24"/>
      <c r="J491" s="24"/>
      <c r="K491" s="24"/>
      <c r="L491" s="24"/>
      <c r="M491" s="24"/>
      <c r="N491" s="24"/>
      <c r="O491" s="24">
        <v>1500</v>
      </c>
      <c r="P491" s="24"/>
      <c r="Q491" s="24"/>
      <c r="R491" s="24"/>
      <c r="S491" s="24"/>
      <c r="T491" s="22"/>
      <c r="U491" s="22"/>
    </row>
    <row r="492" spans="1:21" ht="45" hidden="1">
      <c r="A492" s="243"/>
      <c r="B492" s="49" t="s">
        <v>668</v>
      </c>
      <c r="C492" s="88">
        <v>7498518</v>
      </c>
      <c r="D492" s="22">
        <v>500</v>
      </c>
      <c r="E492" s="24">
        <v>500</v>
      </c>
      <c r="F492" s="24"/>
      <c r="G492" s="24"/>
      <c r="H492" s="24"/>
      <c r="I492" s="24"/>
      <c r="J492" s="24"/>
      <c r="K492" s="24"/>
      <c r="L492" s="24"/>
      <c r="M492" s="24"/>
      <c r="N492" s="24"/>
      <c r="O492" s="24">
        <v>500</v>
      </c>
      <c r="P492" s="24"/>
      <c r="Q492" s="24"/>
      <c r="R492" s="24"/>
      <c r="S492" s="24"/>
      <c r="T492" s="22"/>
      <c r="U492" s="22"/>
    </row>
    <row r="493" spans="1:21" ht="22.5" hidden="1">
      <c r="A493" s="243"/>
      <c r="B493" s="49" t="s">
        <v>669</v>
      </c>
      <c r="C493" s="88">
        <v>7589660</v>
      </c>
      <c r="D493" s="22">
        <v>10000</v>
      </c>
      <c r="E493" s="24">
        <v>9966.0390000000007</v>
      </c>
      <c r="F493" s="24"/>
      <c r="G493" s="24"/>
      <c r="H493" s="24"/>
      <c r="I493" s="24"/>
      <c r="J493" s="24"/>
      <c r="K493" s="24"/>
      <c r="L493" s="24"/>
      <c r="M493" s="24"/>
      <c r="N493" s="24"/>
      <c r="O493" s="24">
        <v>9966.0390000000007</v>
      </c>
      <c r="P493" s="24">
        <v>9966.0390000000007</v>
      </c>
      <c r="Q493" s="24"/>
      <c r="R493" s="24"/>
      <c r="S493" s="24"/>
      <c r="T493" s="22"/>
      <c r="U493" s="22"/>
    </row>
    <row r="494" spans="1:21" s="41" customFormat="1" hidden="1">
      <c r="A494" s="37"/>
      <c r="B494" s="38" t="s">
        <v>280</v>
      </c>
      <c r="C494" s="38"/>
      <c r="D494" s="39">
        <v>14410</v>
      </c>
      <c r="E494" s="61">
        <v>14484.291999999999</v>
      </c>
      <c r="F494" s="61">
        <v>0</v>
      </c>
      <c r="G494" s="61">
        <v>0</v>
      </c>
      <c r="H494" s="61">
        <v>0</v>
      </c>
      <c r="I494" s="61">
        <v>0</v>
      </c>
      <c r="J494" s="61">
        <v>0</v>
      </c>
      <c r="K494" s="61">
        <v>0</v>
      </c>
      <c r="L494" s="61">
        <v>0</v>
      </c>
      <c r="M494" s="61">
        <v>0</v>
      </c>
      <c r="N494" s="61">
        <v>0</v>
      </c>
      <c r="O494" s="61">
        <v>14484.291999999999</v>
      </c>
      <c r="P494" s="61">
        <v>14484.291999999999</v>
      </c>
      <c r="Q494" s="61">
        <v>0</v>
      </c>
      <c r="R494" s="61">
        <v>0</v>
      </c>
      <c r="S494" s="61">
        <v>0</v>
      </c>
      <c r="T494" s="39">
        <v>0</v>
      </c>
      <c r="U494" s="93"/>
    </row>
    <row r="495" spans="1:21" ht="45" hidden="1">
      <c r="A495" s="243"/>
      <c r="B495" s="49" t="s">
        <v>670</v>
      </c>
      <c r="C495" s="47">
        <v>7431576</v>
      </c>
      <c r="D495" s="22">
        <v>800</v>
      </c>
      <c r="E495" s="24">
        <v>795.351</v>
      </c>
      <c r="F495" s="24"/>
      <c r="G495" s="24"/>
      <c r="H495" s="24"/>
      <c r="I495" s="24"/>
      <c r="J495" s="24"/>
      <c r="K495" s="24"/>
      <c r="L495" s="24"/>
      <c r="M495" s="24"/>
      <c r="N495" s="24"/>
      <c r="O495" s="24">
        <v>795.351</v>
      </c>
      <c r="P495" s="24">
        <v>795.351</v>
      </c>
      <c r="Q495" s="24"/>
      <c r="R495" s="24"/>
      <c r="S495" s="24"/>
      <c r="T495" s="22"/>
      <c r="U495" s="22"/>
    </row>
    <row r="496" spans="1:21" ht="22.5" hidden="1">
      <c r="A496" s="243"/>
      <c r="B496" s="49" t="s">
        <v>671</v>
      </c>
      <c r="C496" s="47">
        <v>7548042</v>
      </c>
      <c r="D496" s="44">
        <v>3610</v>
      </c>
      <c r="E496" s="24">
        <v>3601.7829999999999</v>
      </c>
      <c r="F496" s="24"/>
      <c r="G496" s="24"/>
      <c r="H496" s="24"/>
      <c r="I496" s="24"/>
      <c r="J496" s="24"/>
      <c r="K496" s="24"/>
      <c r="L496" s="24"/>
      <c r="M496" s="24"/>
      <c r="N496" s="24"/>
      <c r="O496" s="24">
        <v>3601.7829999999999</v>
      </c>
      <c r="P496" s="24">
        <v>3601.7829999999999</v>
      </c>
      <c r="Q496" s="24"/>
      <c r="R496" s="24"/>
      <c r="S496" s="24"/>
      <c r="T496" s="22"/>
      <c r="U496" s="22"/>
    </row>
    <row r="497" spans="1:21" ht="22.5" hidden="1">
      <c r="A497" s="243"/>
      <c r="B497" s="49" t="s">
        <v>669</v>
      </c>
      <c r="C497" s="47">
        <v>7589660</v>
      </c>
      <c r="D497" s="44">
        <v>10000</v>
      </c>
      <c r="E497" s="24">
        <v>10000</v>
      </c>
      <c r="F497" s="24"/>
      <c r="G497" s="24"/>
      <c r="H497" s="24"/>
      <c r="I497" s="24"/>
      <c r="J497" s="24"/>
      <c r="K497" s="24"/>
      <c r="L497" s="24"/>
      <c r="M497" s="24"/>
      <c r="N497" s="24"/>
      <c r="O497" s="24">
        <v>10000</v>
      </c>
      <c r="P497" s="24">
        <v>10000</v>
      </c>
      <c r="Q497" s="24"/>
      <c r="R497" s="24"/>
      <c r="S497" s="24"/>
      <c r="T497" s="22"/>
      <c r="U497" s="22"/>
    </row>
    <row r="498" spans="1:21" ht="22.5" hidden="1">
      <c r="A498" s="243"/>
      <c r="B498" s="33" t="s">
        <v>672</v>
      </c>
      <c r="C498" s="34">
        <v>7555450</v>
      </c>
      <c r="D498" s="65"/>
      <c r="E498" s="24">
        <v>87.158000000000001</v>
      </c>
      <c r="F498" s="24"/>
      <c r="G498" s="24"/>
      <c r="H498" s="24"/>
      <c r="I498" s="24"/>
      <c r="J498" s="24"/>
      <c r="K498" s="24"/>
      <c r="L498" s="24"/>
      <c r="M498" s="24"/>
      <c r="N498" s="24"/>
      <c r="O498" s="24">
        <v>87.158000000000001</v>
      </c>
      <c r="P498" s="24">
        <v>87.158000000000001</v>
      </c>
      <c r="Q498" s="24"/>
      <c r="R498" s="24"/>
      <c r="S498" s="24"/>
      <c r="T498" s="22"/>
      <c r="U498" s="22"/>
    </row>
    <row r="499" spans="1:21" s="41" customFormat="1" hidden="1">
      <c r="A499" s="37"/>
      <c r="B499" s="38" t="s">
        <v>281</v>
      </c>
      <c r="C499" s="38"/>
      <c r="D499" s="39">
        <v>2200</v>
      </c>
      <c r="E499" s="61">
        <v>1695.67</v>
      </c>
      <c r="F499" s="61">
        <v>995.67000000000007</v>
      </c>
      <c r="G499" s="61">
        <v>0</v>
      </c>
      <c r="H499" s="61">
        <v>0</v>
      </c>
      <c r="I499" s="61">
        <v>0</v>
      </c>
      <c r="J499" s="61">
        <v>0</v>
      </c>
      <c r="K499" s="61">
        <v>0</v>
      </c>
      <c r="L499" s="61">
        <v>0</v>
      </c>
      <c r="M499" s="61">
        <v>0</v>
      </c>
      <c r="N499" s="61">
        <v>0</v>
      </c>
      <c r="O499" s="61">
        <v>700</v>
      </c>
      <c r="P499" s="61">
        <v>0</v>
      </c>
      <c r="Q499" s="61">
        <v>0</v>
      </c>
      <c r="R499" s="61">
        <v>0</v>
      </c>
      <c r="S499" s="61">
        <v>0</v>
      </c>
      <c r="T499" s="39">
        <v>0</v>
      </c>
      <c r="U499" s="93"/>
    </row>
    <row r="500" spans="1:21" hidden="1">
      <c r="A500" s="243"/>
      <c r="B500" s="120" t="s">
        <v>653</v>
      </c>
      <c r="C500" s="122">
        <v>7623867</v>
      </c>
      <c r="D500" s="44">
        <v>800</v>
      </c>
      <c r="E500" s="24">
        <v>295.67</v>
      </c>
      <c r="F500" s="24">
        <v>295.67</v>
      </c>
      <c r="G500" s="24"/>
      <c r="H500" s="24"/>
      <c r="I500" s="24"/>
      <c r="J500" s="24"/>
      <c r="K500" s="24"/>
      <c r="L500" s="24"/>
      <c r="M500" s="24"/>
      <c r="N500" s="24"/>
      <c r="O500" s="24"/>
      <c r="P500" s="24"/>
      <c r="Q500" s="24"/>
      <c r="R500" s="24"/>
      <c r="S500" s="24"/>
      <c r="T500" s="22"/>
      <c r="U500" s="22"/>
    </row>
    <row r="501" spans="1:21" ht="22.5" hidden="1">
      <c r="A501" s="243"/>
      <c r="B501" s="49" t="s">
        <v>673</v>
      </c>
      <c r="C501" s="138">
        <v>7613720</v>
      </c>
      <c r="D501" s="44">
        <v>700</v>
      </c>
      <c r="E501" s="24">
        <v>700</v>
      </c>
      <c r="F501" s="24"/>
      <c r="G501" s="24"/>
      <c r="H501" s="24"/>
      <c r="I501" s="24"/>
      <c r="J501" s="24"/>
      <c r="K501" s="24"/>
      <c r="L501" s="24"/>
      <c r="M501" s="24"/>
      <c r="N501" s="24"/>
      <c r="O501" s="24">
        <v>700</v>
      </c>
      <c r="P501" s="24"/>
      <c r="Q501" s="24"/>
      <c r="R501" s="24"/>
      <c r="S501" s="24"/>
      <c r="T501" s="22"/>
      <c r="U501" s="22"/>
    </row>
    <row r="502" spans="1:21" hidden="1">
      <c r="A502" s="243"/>
      <c r="B502" s="120" t="s">
        <v>654</v>
      </c>
      <c r="C502" s="122">
        <v>7623866</v>
      </c>
      <c r="D502" s="44">
        <v>700</v>
      </c>
      <c r="E502" s="24">
        <v>700</v>
      </c>
      <c r="F502" s="24">
        <v>700</v>
      </c>
      <c r="G502" s="24"/>
      <c r="H502" s="24"/>
      <c r="I502" s="24"/>
      <c r="J502" s="24"/>
      <c r="K502" s="24"/>
      <c r="L502" s="24"/>
      <c r="M502" s="24"/>
      <c r="N502" s="24"/>
      <c r="O502" s="24"/>
      <c r="P502" s="24"/>
      <c r="Q502" s="24"/>
      <c r="R502" s="24"/>
      <c r="S502" s="24"/>
      <c r="T502" s="22"/>
      <c r="U502" s="22"/>
    </row>
    <row r="503" spans="1:21" s="41" customFormat="1" hidden="1">
      <c r="A503" s="37"/>
      <c r="B503" s="38" t="s">
        <v>283</v>
      </c>
      <c r="C503" s="38"/>
      <c r="D503" s="39">
        <v>124856</v>
      </c>
      <c r="E503" s="61">
        <v>113914.76299999999</v>
      </c>
      <c r="F503" s="61">
        <v>0</v>
      </c>
      <c r="G503" s="61">
        <v>0</v>
      </c>
      <c r="H503" s="61">
        <v>0</v>
      </c>
      <c r="I503" s="61">
        <v>0</v>
      </c>
      <c r="J503" s="61">
        <v>0</v>
      </c>
      <c r="K503" s="61">
        <v>2996</v>
      </c>
      <c r="L503" s="61">
        <v>0</v>
      </c>
      <c r="M503" s="61">
        <v>0</v>
      </c>
      <c r="N503" s="61">
        <v>0</v>
      </c>
      <c r="O503" s="61">
        <v>110918.76299999999</v>
      </c>
      <c r="P503" s="61">
        <v>75565.540999999997</v>
      </c>
      <c r="Q503" s="61">
        <v>4328.9620000000004</v>
      </c>
      <c r="R503" s="61">
        <v>0</v>
      </c>
      <c r="S503" s="61">
        <v>0</v>
      </c>
      <c r="T503" s="39">
        <v>0</v>
      </c>
      <c r="U503" s="93"/>
    </row>
    <row r="504" spans="1:21" ht="22.5" hidden="1">
      <c r="A504" s="20"/>
      <c r="B504" s="33" t="s">
        <v>674</v>
      </c>
      <c r="C504" s="47">
        <v>7643661</v>
      </c>
      <c r="D504" s="44">
        <v>89611</v>
      </c>
      <c r="E504" s="24">
        <v>73061.945999999996</v>
      </c>
      <c r="F504" s="24"/>
      <c r="G504" s="24"/>
      <c r="H504" s="24"/>
      <c r="I504" s="24"/>
      <c r="J504" s="24"/>
      <c r="K504" s="24"/>
      <c r="L504" s="24"/>
      <c r="M504" s="24"/>
      <c r="N504" s="24"/>
      <c r="O504" s="24">
        <v>73061.945999999996</v>
      </c>
      <c r="P504" s="24">
        <v>73061.945999999996</v>
      </c>
      <c r="Q504" s="24"/>
      <c r="R504" s="24"/>
      <c r="S504" s="24"/>
      <c r="T504" s="22"/>
      <c r="U504" s="22"/>
    </row>
    <row r="505" spans="1:21" ht="22.5" hidden="1">
      <c r="A505" s="20"/>
      <c r="B505" s="33" t="s">
        <v>675</v>
      </c>
      <c r="C505" s="47">
        <v>7663690</v>
      </c>
      <c r="D505" s="44">
        <v>449</v>
      </c>
      <c r="E505" s="24">
        <v>449</v>
      </c>
      <c r="F505" s="24"/>
      <c r="G505" s="24"/>
      <c r="H505" s="24"/>
      <c r="I505" s="24"/>
      <c r="J505" s="24"/>
      <c r="K505" s="24"/>
      <c r="L505" s="24"/>
      <c r="M505" s="24"/>
      <c r="N505" s="24"/>
      <c r="O505" s="24">
        <v>449</v>
      </c>
      <c r="P505" s="24">
        <v>449</v>
      </c>
      <c r="Q505" s="24"/>
      <c r="R505" s="24"/>
      <c r="S505" s="24"/>
      <c r="T505" s="22"/>
      <c r="U505" s="22"/>
    </row>
    <row r="506" spans="1:21" ht="22.5" hidden="1">
      <c r="A506" s="20"/>
      <c r="B506" s="106" t="s">
        <v>676</v>
      </c>
      <c r="C506" s="105">
        <v>7580875</v>
      </c>
      <c r="D506" s="44">
        <v>4000</v>
      </c>
      <c r="E506" s="24">
        <v>4328.9620000000004</v>
      </c>
      <c r="F506" s="24"/>
      <c r="G506" s="24"/>
      <c r="H506" s="24"/>
      <c r="I506" s="24"/>
      <c r="J506" s="24"/>
      <c r="K506" s="24"/>
      <c r="L506" s="24"/>
      <c r="M506" s="24"/>
      <c r="N506" s="24"/>
      <c r="O506" s="24">
        <v>4328.9620000000004</v>
      </c>
      <c r="P506" s="24"/>
      <c r="Q506" s="24">
        <v>4328.9620000000004</v>
      </c>
      <c r="R506" s="24"/>
      <c r="S506" s="24"/>
      <c r="T506" s="22"/>
      <c r="U506" s="22"/>
    </row>
    <row r="507" spans="1:21" ht="22.5" hidden="1">
      <c r="A507" s="20"/>
      <c r="B507" s="49" t="s">
        <v>677</v>
      </c>
      <c r="C507" s="50">
        <v>7278036</v>
      </c>
      <c r="D507" s="44">
        <v>2996</v>
      </c>
      <c r="E507" s="482">
        <v>2996</v>
      </c>
      <c r="F507" s="24"/>
      <c r="G507" s="24"/>
      <c r="H507" s="24"/>
      <c r="I507" s="24"/>
      <c r="J507" s="24"/>
      <c r="K507" s="482">
        <v>2996</v>
      </c>
      <c r="L507" s="24"/>
      <c r="M507" s="24"/>
      <c r="N507" s="24"/>
      <c r="O507" s="24"/>
      <c r="P507" s="24"/>
      <c r="Q507" s="24"/>
      <c r="R507" s="24"/>
      <c r="S507" s="24"/>
      <c r="T507" s="22"/>
      <c r="U507" s="22"/>
    </row>
    <row r="508" spans="1:21" ht="33.75" hidden="1">
      <c r="A508" s="20"/>
      <c r="B508" s="75" t="s">
        <v>678</v>
      </c>
      <c r="C508" s="34">
        <v>7245439</v>
      </c>
      <c r="D508" s="44">
        <v>27800</v>
      </c>
      <c r="E508" s="24">
        <v>28024.26</v>
      </c>
      <c r="F508" s="24"/>
      <c r="G508" s="24"/>
      <c r="H508" s="24"/>
      <c r="I508" s="24"/>
      <c r="J508" s="24"/>
      <c r="K508" s="24"/>
      <c r="L508" s="24"/>
      <c r="M508" s="24"/>
      <c r="N508" s="24"/>
      <c r="O508" s="24">
        <v>28024.26</v>
      </c>
      <c r="P508" s="24"/>
      <c r="Q508" s="24"/>
      <c r="R508" s="24"/>
      <c r="S508" s="24"/>
      <c r="T508" s="22"/>
      <c r="U508" s="22"/>
    </row>
    <row r="509" spans="1:21" ht="33.75" hidden="1">
      <c r="A509" s="20"/>
      <c r="B509" s="33" t="s">
        <v>679</v>
      </c>
      <c r="C509" s="34">
        <v>7314837</v>
      </c>
      <c r="D509" s="22"/>
      <c r="E509" s="24">
        <v>3000</v>
      </c>
      <c r="F509" s="24"/>
      <c r="G509" s="24"/>
      <c r="H509" s="24"/>
      <c r="I509" s="24"/>
      <c r="J509" s="24"/>
      <c r="K509" s="24"/>
      <c r="L509" s="24"/>
      <c r="M509" s="24"/>
      <c r="N509" s="24"/>
      <c r="O509" s="24">
        <v>3000</v>
      </c>
      <c r="P509" s="24"/>
      <c r="Q509" s="24"/>
      <c r="R509" s="24"/>
      <c r="S509" s="24"/>
      <c r="T509" s="22"/>
      <c r="U509" s="22"/>
    </row>
    <row r="510" spans="1:21" ht="33.75" hidden="1">
      <c r="A510" s="20"/>
      <c r="B510" s="33" t="s">
        <v>680</v>
      </c>
      <c r="C510" s="34">
        <v>7299273</v>
      </c>
      <c r="D510" s="22"/>
      <c r="E510" s="24">
        <v>1524.1890000000001</v>
      </c>
      <c r="F510" s="24"/>
      <c r="G510" s="24"/>
      <c r="H510" s="24"/>
      <c r="I510" s="24"/>
      <c r="J510" s="24"/>
      <c r="K510" s="24"/>
      <c r="L510" s="24"/>
      <c r="M510" s="24"/>
      <c r="N510" s="24"/>
      <c r="O510" s="24">
        <v>1524.1890000000001</v>
      </c>
      <c r="P510" s="24">
        <v>1524.1890000000001</v>
      </c>
      <c r="Q510" s="24"/>
      <c r="R510" s="24"/>
      <c r="S510" s="24"/>
      <c r="T510" s="22"/>
      <c r="U510" s="22"/>
    </row>
    <row r="511" spans="1:21" ht="22.5" hidden="1">
      <c r="A511" s="20"/>
      <c r="B511" s="33" t="s">
        <v>681</v>
      </c>
      <c r="C511" s="51" t="s">
        <v>682</v>
      </c>
      <c r="D511" s="22"/>
      <c r="E511" s="24">
        <v>530.40599999999995</v>
      </c>
      <c r="F511" s="24"/>
      <c r="G511" s="24"/>
      <c r="H511" s="24"/>
      <c r="I511" s="24"/>
      <c r="J511" s="24"/>
      <c r="K511" s="24"/>
      <c r="L511" s="24"/>
      <c r="M511" s="24"/>
      <c r="N511" s="24"/>
      <c r="O511" s="24">
        <v>530.40599999999995</v>
      </c>
      <c r="P511" s="24">
        <v>530.40599999999995</v>
      </c>
      <c r="Q511" s="24"/>
      <c r="R511" s="24"/>
      <c r="S511" s="24"/>
      <c r="T511" s="22"/>
      <c r="U511" s="22"/>
    </row>
    <row r="512" spans="1:21" s="41" customFormat="1">
      <c r="A512" s="91" t="s">
        <v>16</v>
      </c>
      <c r="B512" s="92" t="s">
        <v>287</v>
      </c>
      <c r="C512" s="92"/>
      <c r="D512" s="93">
        <v>26716</v>
      </c>
      <c r="E512" s="489">
        <v>85158.133765000006</v>
      </c>
      <c r="F512" s="489">
        <v>0</v>
      </c>
      <c r="G512" s="489">
        <v>0</v>
      </c>
      <c r="H512" s="489">
        <v>0</v>
      </c>
      <c r="I512" s="489">
        <v>0</v>
      </c>
      <c r="J512" s="489">
        <v>0</v>
      </c>
      <c r="K512" s="489">
        <v>0</v>
      </c>
      <c r="L512" s="489">
        <v>0</v>
      </c>
      <c r="M512" s="489">
        <v>0</v>
      </c>
      <c r="N512" s="489">
        <v>2567.3679999999999</v>
      </c>
      <c r="O512" s="489">
        <v>82590.765765000004</v>
      </c>
      <c r="P512" s="489">
        <v>0</v>
      </c>
      <c r="Q512" s="489">
        <v>0</v>
      </c>
      <c r="R512" s="489">
        <v>0</v>
      </c>
      <c r="S512" s="489">
        <v>0</v>
      </c>
      <c r="T512" s="93">
        <v>0</v>
      </c>
      <c r="U512" s="93"/>
    </row>
    <row r="513" spans="1:21" ht="33.75" hidden="1">
      <c r="A513" s="243"/>
      <c r="B513" s="75" t="s">
        <v>678</v>
      </c>
      <c r="C513" s="34">
        <v>7245439</v>
      </c>
      <c r="D513" s="44">
        <v>26716</v>
      </c>
      <c r="E513" s="24">
        <v>82590.765765000004</v>
      </c>
      <c r="F513" s="24"/>
      <c r="G513" s="24"/>
      <c r="H513" s="24"/>
      <c r="I513" s="24"/>
      <c r="J513" s="24"/>
      <c r="K513" s="24"/>
      <c r="L513" s="24"/>
      <c r="M513" s="24"/>
      <c r="N513" s="24"/>
      <c r="O513" s="24">
        <v>82590.765765000004</v>
      </c>
      <c r="P513" s="24"/>
      <c r="Q513" s="24"/>
      <c r="R513" s="24"/>
      <c r="S513" s="24"/>
      <c r="T513" s="22"/>
      <c r="U513" s="22"/>
    </row>
    <row r="514" spans="1:21" ht="33.75" hidden="1">
      <c r="A514" s="243"/>
      <c r="B514" s="33" t="s">
        <v>678</v>
      </c>
      <c r="C514" s="34">
        <v>7245439</v>
      </c>
      <c r="D514" s="65"/>
      <c r="E514" s="482">
        <v>2567.3679999999999</v>
      </c>
      <c r="F514" s="24"/>
      <c r="G514" s="24"/>
      <c r="H514" s="24"/>
      <c r="I514" s="24"/>
      <c r="J514" s="24"/>
      <c r="K514" s="24"/>
      <c r="L514" s="24"/>
      <c r="M514" s="24"/>
      <c r="N514" s="482">
        <v>2567.3679999999999</v>
      </c>
      <c r="O514" s="24"/>
      <c r="P514" s="24"/>
      <c r="Q514" s="24"/>
      <c r="R514" s="24"/>
      <c r="S514" s="24"/>
      <c r="T514" s="22"/>
      <c r="U514" s="22"/>
    </row>
    <row r="515" spans="1:21">
      <c r="A515" s="243">
        <v>43</v>
      </c>
      <c r="B515" s="18" t="s">
        <v>683</v>
      </c>
      <c r="C515" s="18"/>
      <c r="D515" s="19">
        <v>27201.368999999999</v>
      </c>
      <c r="E515" s="124">
        <v>30380.163299999997</v>
      </c>
      <c r="F515" s="124">
        <v>8287.8089999999993</v>
      </c>
      <c r="G515" s="124">
        <v>0</v>
      </c>
      <c r="H515" s="124">
        <v>0</v>
      </c>
      <c r="I515" s="124">
        <v>0</v>
      </c>
      <c r="J515" s="124">
        <v>0</v>
      </c>
      <c r="K515" s="124">
        <v>1044.95</v>
      </c>
      <c r="L515" s="124">
        <v>0</v>
      </c>
      <c r="M515" s="124">
        <v>0</v>
      </c>
      <c r="N515" s="124">
        <v>0</v>
      </c>
      <c r="O515" s="124">
        <v>21047.404299999998</v>
      </c>
      <c r="P515" s="124">
        <v>8428.112000000001</v>
      </c>
      <c r="Q515" s="124">
        <v>4990.3710000000001</v>
      </c>
      <c r="R515" s="124">
        <v>0</v>
      </c>
      <c r="S515" s="124">
        <v>0</v>
      </c>
      <c r="T515" s="19">
        <v>0</v>
      </c>
      <c r="U515" s="22"/>
    </row>
    <row r="516" spans="1:21" s="41" customFormat="1" hidden="1">
      <c r="A516" s="37"/>
      <c r="B516" s="38" t="s">
        <v>294</v>
      </c>
      <c r="C516" s="38"/>
      <c r="D516" s="39">
        <v>12541.769</v>
      </c>
      <c r="E516" s="61">
        <v>13422.249299999999</v>
      </c>
      <c r="F516" s="61">
        <v>5867.9580000000005</v>
      </c>
      <c r="G516" s="61">
        <v>0</v>
      </c>
      <c r="H516" s="61">
        <v>0</v>
      </c>
      <c r="I516" s="61">
        <v>0</v>
      </c>
      <c r="J516" s="61">
        <v>0</v>
      </c>
      <c r="K516" s="61">
        <v>0</v>
      </c>
      <c r="L516" s="61">
        <v>0</v>
      </c>
      <c r="M516" s="61">
        <v>0</v>
      </c>
      <c r="N516" s="61">
        <v>0</v>
      </c>
      <c r="O516" s="61">
        <v>7554.291299999999</v>
      </c>
      <c r="P516" s="61">
        <v>3120.7170000000001</v>
      </c>
      <c r="Q516" s="61">
        <v>334.28999999999996</v>
      </c>
      <c r="R516" s="61">
        <v>0</v>
      </c>
      <c r="S516" s="61">
        <v>0</v>
      </c>
      <c r="T516" s="39">
        <v>0</v>
      </c>
      <c r="U516" s="39"/>
    </row>
    <row r="517" spans="1:21" ht="22.5" hidden="1">
      <c r="A517" s="243"/>
      <c r="B517" s="157" t="s">
        <v>684</v>
      </c>
      <c r="C517" s="158">
        <v>7487602</v>
      </c>
      <c r="D517" s="22">
        <v>2500</v>
      </c>
      <c r="E517" s="24">
        <v>2500</v>
      </c>
      <c r="F517" s="24"/>
      <c r="G517" s="24"/>
      <c r="H517" s="24"/>
      <c r="I517" s="24"/>
      <c r="J517" s="24"/>
      <c r="K517" s="24"/>
      <c r="L517" s="24"/>
      <c r="M517" s="24"/>
      <c r="N517" s="24"/>
      <c r="O517" s="24">
        <v>2500</v>
      </c>
      <c r="P517" s="24"/>
      <c r="Q517" s="24"/>
      <c r="R517" s="24"/>
      <c r="S517" s="24"/>
      <c r="T517" s="22"/>
      <c r="U517" s="22"/>
    </row>
    <row r="518" spans="1:21" ht="22.5" hidden="1">
      <c r="A518" s="243"/>
      <c r="B518" s="144" t="s">
        <v>685</v>
      </c>
      <c r="C518" s="47">
        <v>7566289</v>
      </c>
      <c r="D518" s="44">
        <v>1200</v>
      </c>
      <c r="E518" s="482">
        <v>1584.356</v>
      </c>
      <c r="F518" s="24">
        <v>1584.356</v>
      </c>
      <c r="G518" s="24"/>
      <c r="H518" s="24"/>
      <c r="I518" s="24"/>
      <c r="J518" s="24"/>
      <c r="K518" s="24"/>
      <c r="L518" s="24"/>
      <c r="M518" s="24"/>
      <c r="N518" s="24"/>
      <c r="O518" s="24"/>
      <c r="P518" s="24"/>
      <c r="Q518" s="24"/>
      <c r="R518" s="24"/>
      <c r="S518" s="24"/>
      <c r="T518" s="22"/>
      <c r="U518" s="22"/>
    </row>
    <row r="519" spans="1:21" hidden="1">
      <c r="A519" s="243"/>
      <c r="B519" s="144" t="s">
        <v>686</v>
      </c>
      <c r="C519" s="47">
        <v>7566291</v>
      </c>
      <c r="D519" s="44">
        <v>1200</v>
      </c>
      <c r="E519" s="482">
        <v>1716.8</v>
      </c>
      <c r="F519" s="24">
        <v>1716.8</v>
      </c>
      <c r="G519" s="24"/>
      <c r="H519" s="24"/>
      <c r="I519" s="24"/>
      <c r="J519" s="24"/>
      <c r="K519" s="24"/>
      <c r="L519" s="24"/>
      <c r="M519" s="24"/>
      <c r="N519" s="24"/>
      <c r="O519" s="24"/>
      <c r="P519" s="24"/>
      <c r="Q519" s="24"/>
      <c r="R519" s="24"/>
      <c r="S519" s="24"/>
      <c r="T519" s="22"/>
      <c r="U519" s="22"/>
    </row>
    <row r="520" spans="1:21" hidden="1">
      <c r="A520" s="243"/>
      <c r="B520" s="144" t="s">
        <v>687</v>
      </c>
      <c r="C520" s="47">
        <v>7566923</v>
      </c>
      <c r="D520" s="44">
        <v>1200</v>
      </c>
      <c r="E520" s="482">
        <v>1570.769</v>
      </c>
      <c r="F520" s="24">
        <v>1570.769</v>
      </c>
      <c r="G520" s="24"/>
      <c r="H520" s="24"/>
      <c r="I520" s="24"/>
      <c r="J520" s="24"/>
      <c r="K520" s="24"/>
      <c r="L520" s="24"/>
      <c r="M520" s="24"/>
      <c r="N520" s="24"/>
      <c r="O520" s="24"/>
      <c r="P520" s="24"/>
      <c r="Q520" s="24"/>
      <c r="R520" s="24"/>
      <c r="S520" s="24"/>
      <c r="T520" s="22"/>
      <c r="U520" s="22"/>
    </row>
    <row r="521" spans="1:21" hidden="1">
      <c r="A521" s="243"/>
      <c r="B521" s="144" t="s">
        <v>688</v>
      </c>
      <c r="C521" s="88">
        <v>7615554</v>
      </c>
      <c r="D521" s="44">
        <v>600</v>
      </c>
      <c r="E521" s="482">
        <v>381.51100000000002</v>
      </c>
      <c r="F521" s="24">
        <v>381.51100000000002</v>
      </c>
      <c r="G521" s="24"/>
      <c r="H521" s="24"/>
      <c r="I521" s="24"/>
      <c r="J521" s="24"/>
      <c r="K521" s="24"/>
      <c r="L521" s="24"/>
      <c r="M521" s="24"/>
      <c r="N521" s="24"/>
      <c r="O521" s="24"/>
      <c r="P521" s="24"/>
      <c r="Q521" s="24"/>
      <c r="R521" s="24"/>
      <c r="S521" s="24"/>
      <c r="T521" s="22"/>
      <c r="U521" s="22"/>
    </row>
    <row r="522" spans="1:21" hidden="1">
      <c r="A522" s="243"/>
      <c r="B522" s="144" t="s">
        <v>689</v>
      </c>
      <c r="C522" s="88">
        <v>7615551</v>
      </c>
      <c r="D522" s="44">
        <v>400</v>
      </c>
      <c r="E522" s="482">
        <v>266.74700000000001</v>
      </c>
      <c r="F522" s="24">
        <v>266.74700000000001</v>
      </c>
      <c r="G522" s="24"/>
      <c r="H522" s="24"/>
      <c r="I522" s="24"/>
      <c r="J522" s="24"/>
      <c r="K522" s="24"/>
      <c r="L522" s="24"/>
      <c r="M522" s="24"/>
      <c r="N522" s="24"/>
      <c r="O522" s="24"/>
      <c r="P522" s="24"/>
      <c r="Q522" s="24"/>
      <c r="R522" s="24"/>
      <c r="S522" s="24"/>
      <c r="T522" s="22"/>
      <c r="U522" s="22"/>
    </row>
    <row r="523" spans="1:21" hidden="1">
      <c r="A523" s="243"/>
      <c r="B523" s="144" t="s">
        <v>388</v>
      </c>
      <c r="C523" s="88">
        <v>7615550</v>
      </c>
      <c r="D523" s="44">
        <v>400</v>
      </c>
      <c r="E523" s="482">
        <v>347.77499999999998</v>
      </c>
      <c r="F523" s="24">
        <v>347.77499999999998</v>
      </c>
      <c r="G523" s="24"/>
      <c r="H523" s="24"/>
      <c r="I523" s="24"/>
      <c r="J523" s="24"/>
      <c r="K523" s="24"/>
      <c r="L523" s="24"/>
      <c r="M523" s="24"/>
      <c r="N523" s="24"/>
      <c r="O523" s="24"/>
      <c r="P523" s="24"/>
      <c r="Q523" s="24"/>
      <c r="R523" s="24"/>
      <c r="S523" s="24"/>
      <c r="T523" s="22"/>
      <c r="U523" s="22"/>
    </row>
    <row r="524" spans="1:21" ht="22.5" hidden="1">
      <c r="A524" s="243"/>
      <c r="B524" s="145" t="s">
        <v>690</v>
      </c>
      <c r="C524" s="146">
        <v>7194769</v>
      </c>
      <c r="D524" s="44">
        <v>51.14</v>
      </c>
      <c r="E524" s="482">
        <v>51.14</v>
      </c>
      <c r="F524" s="24"/>
      <c r="G524" s="24"/>
      <c r="H524" s="24"/>
      <c r="I524" s="24"/>
      <c r="J524" s="24"/>
      <c r="K524" s="24"/>
      <c r="L524" s="24"/>
      <c r="M524" s="24"/>
      <c r="N524" s="24"/>
      <c r="O524" s="482">
        <v>51.14</v>
      </c>
      <c r="P524" s="24"/>
      <c r="Q524" s="482">
        <v>51.14</v>
      </c>
      <c r="R524" s="24"/>
      <c r="S524" s="24"/>
      <c r="T524" s="22"/>
      <c r="U524" s="22"/>
    </row>
    <row r="525" spans="1:21" ht="22.5" hidden="1">
      <c r="A525" s="243"/>
      <c r="B525" s="45" t="s">
        <v>691</v>
      </c>
      <c r="C525" s="43">
        <v>7399018</v>
      </c>
      <c r="D525" s="44">
        <v>96.016999999999996</v>
      </c>
      <c r="E525" s="24">
        <v>96.016999999999996</v>
      </c>
      <c r="F525" s="24"/>
      <c r="G525" s="24"/>
      <c r="H525" s="24"/>
      <c r="I525" s="24"/>
      <c r="J525" s="24"/>
      <c r="K525" s="24"/>
      <c r="L525" s="24"/>
      <c r="M525" s="24"/>
      <c r="N525" s="24"/>
      <c r="O525" s="24">
        <v>96.016999999999996</v>
      </c>
      <c r="P525" s="24"/>
      <c r="Q525" s="24">
        <v>96.016999999999996</v>
      </c>
      <c r="R525" s="24"/>
      <c r="S525" s="24"/>
      <c r="T525" s="22"/>
      <c r="U525" s="22"/>
    </row>
    <row r="526" spans="1:21" ht="22.5" hidden="1">
      <c r="A526" s="243"/>
      <c r="B526" s="45" t="s">
        <v>692</v>
      </c>
      <c r="C526" s="43">
        <v>7351933</v>
      </c>
      <c r="D526" s="44">
        <v>98.611999999999995</v>
      </c>
      <c r="E526" s="24">
        <v>98.611999999999995</v>
      </c>
      <c r="F526" s="24"/>
      <c r="G526" s="24"/>
      <c r="H526" s="24"/>
      <c r="I526" s="24"/>
      <c r="J526" s="24"/>
      <c r="K526" s="24"/>
      <c r="L526" s="24"/>
      <c r="M526" s="24"/>
      <c r="N526" s="24"/>
      <c r="O526" s="24">
        <v>98.611999999999995</v>
      </c>
      <c r="P526" s="24"/>
      <c r="Q526" s="24">
        <v>98.611999999999995</v>
      </c>
      <c r="R526" s="24"/>
      <c r="S526" s="24"/>
      <c r="T526" s="22"/>
      <c r="U526" s="22"/>
    </row>
    <row r="527" spans="1:21" ht="22.5" hidden="1">
      <c r="A527" s="243"/>
      <c r="B527" s="45" t="s">
        <v>693</v>
      </c>
      <c r="C527" s="43">
        <v>7445643</v>
      </c>
      <c r="D527" s="44">
        <v>49</v>
      </c>
      <c r="E527" s="24">
        <v>48.521000000000001</v>
      </c>
      <c r="F527" s="24"/>
      <c r="G527" s="24"/>
      <c r="H527" s="24"/>
      <c r="I527" s="24"/>
      <c r="J527" s="24"/>
      <c r="K527" s="24"/>
      <c r="L527" s="24"/>
      <c r="M527" s="24"/>
      <c r="N527" s="24"/>
      <c r="O527" s="24">
        <v>48.521000000000001</v>
      </c>
      <c r="P527" s="24"/>
      <c r="Q527" s="24">
        <v>48.521000000000001</v>
      </c>
      <c r="R527" s="24"/>
      <c r="S527" s="24"/>
      <c r="T527" s="22"/>
      <c r="U527" s="22"/>
    </row>
    <row r="528" spans="1:21" ht="33.75" hidden="1">
      <c r="A528" s="243"/>
      <c r="B528" s="45" t="s">
        <v>694</v>
      </c>
      <c r="C528" s="43">
        <v>7010762</v>
      </c>
      <c r="D528" s="44">
        <v>2400</v>
      </c>
      <c r="E528" s="482">
        <v>2460.3960000000002</v>
      </c>
      <c r="F528" s="24"/>
      <c r="G528" s="24"/>
      <c r="H528" s="24"/>
      <c r="I528" s="24"/>
      <c r="J528" s="24"/>
      <c r="K528" s="24"/>
      <c r="L528" s="24"/>
      <c r="M528" s="24"/>
      <c r="N528" s="24"/>
      <c r="O528" s="482">
        <v>2460.3960000000002</v>
      </c>
      <c r="P528" s="482">
        <v>2460.3960000000002</v>
      </c>
      <c r="Q528" s="24"/>
      <c r="R528" s="24"/>
      <c r="S528" s="24"/>
      <c r="T528" s="22"/>
      <c r="U528" s="22"/>
    </row>
    <row r="529" spans="1:21" hidden="1">
      <c r="A529" s="243"/>
      <c r="B529" s="49" t="s">
        <v>695</v>
      </c>
      <c r="C529" s="88">
        <v>7468449</v>
      </c>
      <c r="D529" s="22">
        <v>600</v>
      </c>
      <c r="E529" s="24">
        <v>599.39099999999996</v>
      </c>
      <c r="F529" s="24"/>
      <c r="G529" s="24"/>
      <c r="H529" s="24"/>
      <c r="I529" s="24"/>
      <c r="J529" s="24"/>
      <c r="K529" s="24"/>
      <c r="L529" s="24"/>
      <c r="M529" s="24"/>
      <c r="N529" s="24"/>
      <c r="O529" s="24">
        <v>599.39099999999996</v>
      </c>
      <c r="P529" s="24"/>
      <c r="Q529" s="24"/>
      <c r="R529" s="24"/>
      <c r="S529" s="24"/>
      <c r="T529" s="22"/>
      <c r="U529" s="22"/>
    </row>
    <row r="530" spans="1:21" hidden="1">
      <c r="A530" s="243"/>
      <c r="B530" s="49" t="s">
        <v>696</v>
      </c>
      <c r="C530" s="88">
        <v>7594921</v>
      </c>
      <c r="D530" s="22">
        <v>1000</v>
      </c>
      <c r="E530" s="24">
        <v>999.89329999999995</v>
      </c>
      <c r="F530" s="24"/>
      <c r="G530" s="24"/>
      <c r="H530" s="24"/>
      <c r="I530" s="24"/>
      <c r="J530" s="24"/>
      <c r="K530" s="24"/>
      <c r="L530" s="24"/>
      <c r="M530" s="24"/>
      <c r="N530" s="24"/>
      <c r="O530" s="24">
        <v>999.89329999999995</v>
      </c>
      <c r="P530" s="24"/>
      <c r="Q530" s="24"/>
      <c r="R530" s="24"/>
      <c r="S530" s="24"/>
      <c r="T530" s="22"/>
      <c r="U530" s="22"/>
    </row>
    <row r="531" spans="1:21" ht="45" hidden="1">
      <c r="A531" s="243"/>
      <c r="B531" s="49" t="s">
        <v>697</v>
      </c>
      <c r="C531" s="88">
        <v>7605565</v>
      </c>
      <c r="D531" s="22">
        <v>747</v>
      </c>
      <c r="E531" s="24">
        <v>660.32100000000003</v>
      </c>
      <c r="F531" s="24"/>
      <c r="G531" s="24"/>
      <c r="H531" s="24"/>
      <c r="I531" s="24"/>
      <c r="J531" s="24"/>
      <c r="K531" s="24"/>
      <c r="L531" s="24"/>
      <c r="M531" s="24"/>
      <c r="N531" s="24"/>
      <c r="O531" s="24">
        <v>660.32100000000003</v>
      </c>
      <c r="P531" s="24">
        <v>660.32100000000003</v>
      </c>
      <c r="Q531" s="24"/>
      <c r="R531" s="24"/>
      <c r="S531" s="24"/>
      <c r="T531" s="22"/>
      <c r="U531" s="22"/>
    </row>
    <row r="532" spans="1:21" ht="33.75" hidden="1">
      <c r="A532" s="243"/>
      <c r="B532" s="33" t="s">
        <v>698</v>
      </c>
      <c r="C532" s="34">
        <v>7384841</v>
      </c>
      <c r="D532" s="19"/>
      <c r="E532" s="24">
        <v>40</v>
      </c>
      <c r="F532" s="124"/>
      <c r="G532" s="124"/>
      <c r="H532" s="124"/>
      <c r="I532" s="124"/>
      <c r="J532" s="124"/>
      <c r="K532" s="124"/>
      <c r="L532" s="124"/>
      <c r="M532" s="124"/>
      <c r="N532" s="124"/>
      <c r="O532" s="24">
        <v>40</v>
      </c>
      <c r="P532" s="24"/>
      <c r="Q532" s="24">
        <v>40</v>
      </c>
      <c r="R532" s="124"/>
      <c r="S532" s="124"/>
      <c r="T532" s="19"/>
      <c r="U532" s="22"/>
    </row>
    <row r="533" spans="1:21" s="46" customFormat="1" hidden="1">
      <c r="A533" s="37"/>
      <c r="B533" s="38" t="s">
        <v>280</v>
      </c>
      <c r="C533" s="38"/>
      <c r="D533" s="39">
        <v>3736.6</v>
      </c>
      <c r="E533" s="61">
        <v>3736.6</v>
      </c>
      <c r="F533" s="61">
        <v>0</v>
      </c>
      <c r="G533" s="61">
        <v>0</v>
      </c>
      <c r="H533" s="61">
        <v>0</v>
      </c>
      <c r="I533" s="61">
        <v>0</v>
      </c>
      <c r="J533" s="61">
        <v>0</v>
      </c>
      <c r="K533" s="61">
        <v>0</v>
      </c>
      <c r="L533" s="61">
        <v>0</v>
      </c>
      <c r="M533" s="61">
        <v>0</v>
      </c>
      <c r="N533" s="61">
        <v>0</v>
      </c>
      <c r="O533" s="61">
        <v>3736.6</v>
      </c>
      <c r="P533" s="61">
        <v>3736.6</v>
      </c>
      <c r="Q533" s="61">
        <v>0</v>
      </c>
      <c r="R533" s="61">
        <v>0</v>
      </c>
      <c r="S533" s="61">
        <v>0</v>
      </c>
      <c r="T533" s="39">
        <v>0</v>
      </c>
      <c r="U533" s="39"/>
    </row>
    <row r="534" spans="1:21" ht="33.75" hidden="1">
      <c r="A534" s="243"/>
      <c r="B534" s="33" t="s">
        <v>699</v>
      </c>
      <c r="C534" s="34">
        <v>7584157</v>
      </c>
      <c r="D534" s="44">
        <v>3736.6</v>
      </c>
      <c r="E534" s="482">
        <v>3736.6</v>
      </c>
      <c r="F534" s="24"/>
      <c r="G534" s="24"/>
      <c r="H534" s="24"/>
      <c r="I534" s="24"/>
      <c r="J534" s="24"/>
      <c r="K534" s="24"/>
      <c r="L534" s="24"/>
      <c r="M534" s="24"/>
      <c r="N534" s="24"/>
      <c r="O534" s="482">
        <v>3736.6</v>
      </c>
      <c r="P534" s="482">
        <v>3736.6</v>
      </c>
      <c r="Q534" s="24"/>
      <c r="R534" s="24"/>
      <c r="S534" s="24"/>
      <c r="T534" s="22"/>
      <c r="U534" s="22"/>
    </row>
    <row r="535" spans="1:21" s="41" customFormat="1" hidden="1">
      <c r="A535" s="37"/>
      <c r="B535" s="38" t="s">
        <v>281</v>
      </c>
      <c r="C535" s="38"/>
      <c r="D535" s="39">
        <v>3100</v>
      </c>
      <c r="E535" s="61">
        <v>2085.8009999999999</v>
      </c>
      <c r="F535" s="61">
        <v>2085.8009999999999</v>
      </c>
      <c r="G535" s="61">
        <v>0</v>
      </c>
      <c r="H535" s="61">
        <v>0</v>
      </c>
      <c r="I535" s="61">
        <v>0</v>
      </c>
      <c r="J535" s="61">
        <v>0</v>
      </c>
      <c r="K535" s="61">
        <v>0</v>
      </c>
      <c r="L535" s="61">
        <v>0</v>
      </c>
      <c r="M535" s="61">
        <v>0</v>
      </c>
      <c r="N535" s="61">
        <v>0</v>
      </c>
      <c r="O535" s="61">
        <v>0</v>
      </c>
      <c r="P535" s="61">
        <v>0</v>
      </c>
      <c r="Q535" s="61">
        <v>0</v>
      </c>
      <c r="R535" s="61">
        <v>0</v>
      </c>
      <c r="S535" s="61">
        <v>0</v>
      </c>
      <c r="T535" s="39">
        <v>0</v>
      </c>
      <c r="U535" s="93"/>
    </row>
    <row r="536" spans="1:21" ht="22.5" hidden="1">
      <c r="A536" s="243"/>
      <c r="B536" s="95" t="s">
        <v>700</v>
      </c>
      <c r="C536" s="138">
        <v>7488143</v>
      </c>
      <c r="D536" s="44">
        <v>1500</v>
      </c>
      <c r="E536" s="24">
        <v>1500</v>
      </c>
      <c r="F536" s="24">
        <v>1500</v>
      </c>
      <c r="G536" s="24"/>
      <c r="H536" s="24"/>
      <c r="I536" s="24"/>
      <c r="J536" s="24"/>
      <c r="K536" s="24"/>
      <c r="L536" s="24"/>
      <c r="M536" s="24"/>
      <c r="N536" s="24"/>
      <c r="O536" s="24"/>
      <c r="P536" s="24"/>
      <c r="Q536" s="24"/>
      <c r="R536" s="24"/>
      <c r="S536" s="24"/>
      <c r="T536" s="22"/>
      <c r="U536" s="22"/>
    </row>
    <row r="537" spans="1:21" hidden="1">
      <c r="A537" s="243"/>
      <c r="B537" s="33" t="s">
        <v>688</v>
      </c>
      <c r="C537" s="138">
        <v>7615554</v>
      </c>
      <c r="D537" s="44">
        <v>400</v>
      </c>
      <c r="E537" s="24">
        <v>0</v>
      </c>
      <c r="F537" s="24">
        <v>0</v>
      </c>
      <c r="G537" s="24"/>
      <c r="H537" s="24"/>
      <c r="I537" s="24"/>
      <c r="J537" s="24"/>
      <c r="K537" s="24"/>
      <c r="L537" s="24"/>
      <c r="M537" s="24"/>
      <c r="N537" s="24"/>
      <c r="O537" s="24"/>
      <c r="P537" s="24"/>
      <c r="Q537" s="24"/>
      <c r="R537" s="24"/>
      <c r="S537" s="24"/>
      <c r="T537" s="22"/>
      <c r="U537" s="22"/>
    </row>
    <row r="538" spans="1:21" hidden="1">
      <c r="A538" s="243"/>
      <c r="B538" s="95" t="s">
        <v>689</v>
      </c>
      <c r="C538" s="138">
        <v>7615551</v>
      </c>
      <c r="D538" s="44">
        <v>600</v>
      </c>
      <c r="E538" s="24">
        <v>146.65</v>
      </c>
      <c r="F538" s="24">
        <v>146.65</v>
      </c>
      <c r="G538" s="24"/>
      <c r="H538" s="24"/>
      <c r="I538" s="24"/>
      <c r="J538" s="24"/>
      <c r="K538" s="24"/>
      <c r="L538" s="24"/>
      <c r="M538" s="24"/>
      <c r="N538" s="24"/>
      <c r="O538" s="24"/>
      <c r="P538" s="24"/>
      <c r="Q538" s="24"/>
      <c r="R538" s="24"/>
      <c r="S538" s="24"/>
      <c r="T538" s="22"/>
      <c r="U538" s="22"/>
    </row>
    <row r="539" spans="1:21" hidden="1">
      <c r="A539" s="243"/>
      <c r="B539" s="95" t="s">
        <v>388</v>
      </c>
      <c r="C539" s="138">
        <v>7615550</v>
      </c>
      <c r="D539" s="44">
        <v>600</v>
      </c>
      <c r="E539" s="24">
        <v>439.15100000000001</v>
      </c>
      <c r="F539" s="24">
        <v>439.15100000000001</v>
      </c>
      <c r="G539" s="24"/>
      <c r="H539" s="24"/>
      <c r="I539" s="24"/>
      <c r="J539" s="24"/>
      <c r="K539" s="24"/>
      <c r="L539" s="24"/>
      <c r="M539" s="24"/>
      <c r="N539" s="24"/>
      <c r="O539" s="24"/>
      <c r="P539" s="24"/>
      <c r="Q539" s="24"/>
      <c r="R539" s="24"/>
      <c r="S539" s="24"/>
      <c r="T539" s="22"/>
      <c r="U539" s="22"/>
    </row>
    <row r="540" spans="1:21" s="41" customFormat="1" hidden="1">
      <c r="A540" s="37"/>
      <c r="B540" s="38" t="s">
        <v>282</v>
      </c>
      <c r="C540" s="38"/>
      <c r="D540" s="39">
        <v>0</v>
      </c>
      <c r="E540" s="61">
        <v>2938.5570000000002</v>
      </c>
      <c r="F540" s="61">
        <v>0</v>
      </c>
      <c r="G540" s="61">
        <v>0</v>
      </c>
      <c r="H540" s="61">
        <v>0</v>
      </c>
      <c r="I540" s="61">
        <v>0</v>
      </c>
      <c r="J540" s="61">
        <v>0</v>
      </c>
      <c r="K540" s="61">
        <v>0</v>
      </c>
      <c r="L540" s="61">
        <v>0</v>
      </c>
      <c r="M540" s="61">
        <v>0</v>
      </c>
      <c r="N540" s="61">
        <v>0</v>
      </c>
      <c r="O540" s="61">
        <v>2938.5570000000002</v>
      </c>
      <c r="P540" s="61">
        <v>500</v>
      </c>
      <c r="Q540" s="61">
        <v>0</v>
      </c>
      <c r="R540" s="61">
        <v>0</v>
      </c>
      <c r="S540" s="61">
        <v>0</v>
      </c>
      <c r="T540" s="39">
        <v>0</v>
      </c>
      <c r="U540" s="93"/>
    </row>
    <row r="541" spans="1:21" ht="33.75" hidden="1">
      <c r="A541" s="20"/>
      <c r="B541" s="33" t="s">
        <v>701</v>
      </c>
      <c r="C541" s="34">
        <v>7633329</v>
      </c>
      <c r="D541" s="22"/>
      <c r="E541" s="24">
        <v>500</v>
      </c>
      <c r="F541" s="24"/>
      <c r="G541" s="24"/>
      <c r="H541" s="24"/>
      <c r="I541" s="24"/>
      <c r="J541" s="24"/>
      <c r="K541" s="24"/>
      <c r="L541" s="24"/>
      <c r="M541" s="24"/>
      <c r="N541" s="24"/>
      <c r="O541" s="24">
        <v>500</v>
      </c>
      <c r="P541" s="24">
        <v>500</v>
      </c>
      <c r="Q541" s="24"/>
      <c r="R541" s="24"/>
      <c r="S541" s="24"/>
      <c r="T541" s="22"/>
      <c r="U541" s="22"/>
    </row>
    <row r="542" spans="1:21" ht="22.5" hidden="1">
      <c r="A542" s="20"/>
      <c r="B542" s="33" t="s">
        <v>702</v>
      </c>
      <c r="C542" s="34">
        <v>7615552</v>
      </c>
      <c r="D542" s="22"/>
      <c r="E542" s="24">
        <v>500</v>
      </c>
      <c r="F542" s="24"/>
      <c r="G542" s="24"/>
      <c r="H542" s="24"/>
      <c r="I542" s="24"/>
      <c r="J542" s="24"/>
      <c r="K542" s="24"/>
      <c r="L542" s="24"/>
      <c r="M542" s="24"/>
      <c r="N542" s="24"/>
      <c r="O542" s="24">
        <v>500</v>
      </c>
      <c r="P542" s="24"/>
      <c r="Q542" s="24"/>
      <c r="R542" s="24"/>
      <c r="S542" s="24"/>
      <c r="T542" s="22"/>
      <c r="U542" s="22"/>
    </row>
    <row r="543" spans="1:21" ht="22.5" hidden="1">
      <c r="A543" s="20"/>
      <c r="B543" s="33" t="s">
        <v>703</v>
      </c>
      <c r="C543" s="34">
        <v>7615553</v>
      </c>
      <c r="D543" s="22"/>
      <c r="E543" s="24">
        <v>500</v>
      </c>
      <c r="F543" s="24"/>
      <c r="G543" s="24"/>
      <c r="H543" s="24"/>
      <c r="I543" s="24"/>
      <c r="J543" s="24"/>
      <c r="K543" s="24"/>
      <c r="L543" s="24"/>
      <c r="M543" s="24"/>
      <c r="N543" s="24"/>
      <c r="O543" s="24">
        <v>500</v>
      </c>
      <c r="P543" s="24"/>
      <c r="Q543" s="24"/>
      <c r="R543" s="24"/>
      <c r="S543" s="24"/>
      <c r="T543" s="22"/>
      <c r="U543" s="22"/>
    </row>
    <row r="544" spans="1:21" ht="22.5" hidden="1">
      <c r="A544" s="20"/>
      <c r="B544" s="33" t="s">
        <v>704</v>
      </c>
      <c r="C544" s="34">
        <v>7632684</v>
      </c>
      <c r="D544" s="22"/>
      <c r="E544" s="24">
        <v>500</v>
      </c>
      <c r="F544" s="24"/>
      <c r="G544" s="24"/>
      <c r="H544" s="24"/>
      <c r="I544" s="24"/>
      <c r="J544" s="24"/>
      <c r="K544" s="24"/>
      <c r="L544" s="24"/>
      <c r="M544" s="24"/>
      <c r="N544" s="24"/>
      <c r="O544" s="24">
        <v>500</v>
      </c>
      <c r="P544" s="24"/>
      <c r="Q544" s="24"/>
      <c r="R544" s="24"/>
      <c r="S544" s="24"/>
      <c r="T544" s="22"/>
      <c r="U544" s="22"/>
    </row>
    <row r="545" spans="1:21" ht="22.5" hidden="1">
      <c r="A545" s="20"/>
      <c r="B545" s="33" t="s">
        <v>705</v>
      </c>
      <c r="C545" s="34">
        <v>7634115</v>
      </c>
      <c r="D545" s="22"/>
      <c r="E545" s="24">
        <v>838.81500000000005</v>
      </c>
      <c r="F545" s="24"/>
      <c r="G545" s="24"/>
      <c r="H545" s="24"/>
      <c r="I545" s="24"/>
      <c r="J545" s="24"/>
      <c r="K545" s="24"/>
      <c r="L545" s="24"/>
      <c r="M545" s="24"/>
      <c r="N545" s="24"/>
      <c r="O545" s="24">
        <v>838.81500000000005</v>
      </c>
      <c r="P545" s="24"/>
      <c r="Q545" s="24"/>
      <c r="R545" s="24"/>
      <c r="S545" s="24"/>
      <c r="T545" s="22"/>
      <c r="U545" s="22"/>
    </row>
    <row r="546" spans="1:21" ht="56.25" hidden="1">
      <c r="A546" s="20"/>
      <c r="B546" s="33" t="s">
        <v>706</v>
      </c>
      <c r="C546" s="34">
        <v>7639430</v>
      </c>
      <c r="D546" s="22"/>
      <c r="E546" s="24">
        <v>99.742000000000004</v>
      </c>
      <c r="F546" s="24"/>
      <c r="G546" s="24"/>
      <c r="H546" s="24"/>
      <c r="I546" s="24"/>
      <c r="J546" s="24"/>
      <c r="K546" s="24"/>
      <c r="L546" s="24"/>
      <c r="M546" s="24"/>
      <c r="N546" s="24"/>
      <c r="O546" s="24">
        <v>99.742000000000004</v>
      </c>
      <c r="P546" s="24"/>
      <c r="Q546" s="24"/>
      <c r="R546" s="24"/>
      <c r="S546" s="24"/>
      <c r="T546" s="22"/>
      <c r="U546" s="22"/>
    </row>
    <row r="547" spans="1:21" s="46" customFormat="1" ht="28.5" hidden="1" customHeight="1">
      <c r="A547" s="37"/>
      <c r="B547" s="38" t="s">
        <v>707</v>
      </c>
      <c r="C547" s="38"/>
      <c r="D547" s="39">
        <v>0</v>
      </c>
      <c r="E547" s="61">
        <v>900</v>
      </c>
      <c r="F547" s="61">
        <v>0</v>
      </c>
      <c r="G547" s="61">
        <v>0</v>
      </c>
      <c r="H547" s="61">
        <v>0</v>
      </c>
      <c r="I547" s="61">
        <v>0</v>
      </c>
      <c r="J547" s="61">
        <v>0</v>
      </c>
      <c r="K547" s="61">
        <v>900</v>
      </c>
      <c r="L547" s="61">
        <v>0</v>
      </c>
      <c r="M547" s="61">
        <v>0</v>
      </c>
      <c r="N547" s="61">
        <v>0</v>
      </c>
      <c r="O547" s="61">
        <v>0</v>
      </c>
      <c r="P547" s="61">
        <v>0</v>
      </c>
      <c r="Q547" s="61">
        <v>0</v>
      </c>
      <c r="R547" s="61">
        <v>0</v>
      </c>
      <c r="S547" s="61">
        <v>0</v>
      </c>
      <c r="T547" s="39">
        <v>0</v>
      </c>
      <c r="U547" s="39"/>
    </row>
    <row r="548" spans="1:21" ht="39.75" hidden="1" customHeight="1">
      <c r="A548" s="20"/>
      <c r="B548" s="33" t="s">
        <v>708</v>
      </c>
      <c r="C548" s="34">
        <v>7611141</v>
      </c>
      <c r="D548" s="22"/>
      <c r="E548" s="24">
        <v>900</v>
      </c>
      <c r="F548" s="24"/>
      <c r="G548" s="24"/>
      <c r="H548" s="24"/>
      <c r="I548" s="24"/>
      <c r="J548" s="24"/>
      <c r="K548" s="24">
        <v>900</v>
      </c>
      <c r="L548" s="24"/>
      <c r="M548" s="24"/>
      <c r="N548" s="24"/>
      <c r="O548" s="24"/>
      <c r="P548" s="24"/>
      <c r="Q548" s="24"/>
      <c r="R548" s="24"/>
      <c r="S548" s="24"/>
      <c r="T548" s="22"/>
      <c r="U548" s="22"/>
    </row>
    <row r="549" spans="1:21" s="46" customFormat="1" ht="20.25" hidden="1" customHeight="1">
      <c r="A549" s="37"/>
      <c r="B549" s="38" t="s">
        <v>283</v>
      </c>
      <c r="C549" s="38"/>
      <c r="D549" s="39">
        <v>3000</v>
      </c>
      <c r="E549" s="61">
        <v>4644.4760000000006</v>
      </c>
      <c r="F549" s="61">
        <v>0</v>
      </c>
      <c r="G549" s="61">
        <v>0</v>
      </c>
      <c r="H549" s="61">
        <v>0</v>
      </c>
      <c r="I549" s="61">
        <v>0</v>
      </c>
      <c r="J549" s="61">
        <v>0</v>
      </c>
      <c r="K549" s="61">
        <v>0</v>
      </c>
      <c r="L549" s="61">
        <v>0</v>
      </c>
      <c r="M549" s="61">
        <v>0</v>
      </c>
      <c r="N549" s="61">
        <v>0</v>
      </c>
      <c r="O549" s="61">
        <v>4644.4760000000006</v>
      </c>
      <c r="P549" s="61">
        <v>133.345</v>
      </c>
      <c r="Q549" s="61">
        <v>4511.1310000000003</v>
      </c>
      <c r="R549" s="61">
        <v>0</v>
      </c>
      <c r="S549" s="61">
        <v>0</v>
      </c>
      <c r="T549" s="39">
        <v>0</v>
      </c>
      <c r="U549" s="39"/>
    </row>
    <row r="550" spans="1:21" ht="48.75" hidden="1" customHeight="1">
      <c r="A550" s="20"/>
      <c r="B550" s="106" t="s">
        <v>709</v>
      </c>
      <c r="C550" s="105">
        <v>7573759</v>
      </c>
      <c r="D550" s="44">
        <v>3000</v>
      </c>
      <c r="E550" s="24">
        <v>4511.1310000000003</v>
      </c>
      <c r="F550" s="24"/>
      <c r="G550" s="24"/>
      <c r="H550" s="24"/>
      <c r="I550" s="24"/>
      <c r="J550" s="24"/>
      <c r="K550" s="24"/>
      <c r="L550" s="24"/>
      <c r="M550" s="24"/>
      <c r="N550" s="24"/>
      <c r="O550" s="24">
        <v>4511.1310000000003</v>
      </c>
      <c r="P550" s="24"/>
      <c r="Q550" s="24">
        <v>4511.1310000000003</v>
      </c>
      <c r="R550" s="24"/>
      <c r="S550" s="24"/>
      <c r="T550" s="22"/>
      <c r="U550" s="22"/>
    </row>
    <row r="551" spans="1:21" ht="61.5" hidden="1" customHeight="1">
      <c r="A551" s="20"/>
      <c r="B551" s="33" t="s">
        <v>710</v>
      </c>
      <c r="C551" s="34">
        <v>7010762</v>
      </c>
      <c r="D551" s="22"/>
      <c r="E551" s="24">
        <v>133.345</v>
      </c>
      <c r="F551" s="24"/>
      <c r="G551" s="24"/>
      <c r="H551" s="24"/>
      <c r="I551" s="24"/>
      <c r="J551" s="24"/>
      <c r="K551" s="24"/>
      <c r="L551" s="24"/>
      <c r="M551" s="24"/>
      <c r="N551" s="24"/>
      <c r="O551" s="24">
        <v>133.345</v>
      </c>
      <c r="P551" s="24">
        <v>133.345</v>
      </c>
      <c r="Q551" s="24"/>
      <c r="R551" s="24"/>
      <c r="S551" s="24"/>
      <c r="T551" s="22"/>
      <c r="U551" s="22"/>
    </row>
    <row r="552" spans="1:21" s="46" customFormat="1" ht="16.5" hidden="1" customHeight="1">
      <c r="A552" s="37"/>
      <c r="B552" s="38" t="s">
        <v>309</v>
      </c>
      <c r="C552" s="38"/>
      <c r="D552" s="39">
        <v>4823</v>
      </c>
      <c r="E552" s="61">
        <v>2652.4799999999996</v>
      </c>
      <c r="F552" s="61">
        <v>334.05</v>
      </c>
      <c r="G552" s="61">
        <v>0</v>
      </c>
      <c r="H552" s="61">
        <v>0</v>
      </c>
      <c r="I552" s="61">
        <v>0</v>
      </c>
      <c r="J552" s="61">
        <v>0</v>
      </c>
      <c r="K552" s="61">
        <v>144.94999999999999</v>
      </c>
      <c r="L552" s="61">
        <v>0</v>
      </c>
      <c r="M552" s="61">
        <v>0</v>
      </c>
      <c r="N552" s="61">
        <v>0</v>
      </c>
      <c r="O552" s="61">
        <v>2173.4800000000005</v>
      </c>
      <c r="P552" s="61">
        <v>937.45</v>
      </c>
      <c r="Q552" s="61">
        <v>144.94999999999999</v>
      </c>
      <c r="R552" s="61">
        <v>0</v>
      </c>
      <c r="S552" s="61">
        <v>0</v>
      </c>
      <c r="T552" s="39">
        <v>0</v>
      </c>
      <c r="U552" s="39"/>
    </row>
    <row r="553" spans="1:21" ht="18" hidden="1" customHeight="1">
      <c r="A553" s="20"/>
      <c r="B553" s="33" t="s">
        <v>711</v>
      </c>
      <c r="C553" s="34">
        <v>7649560</v>
      </c>
      <c r="D553" s="44">
        <v>1440</v>
      </c>
      <c r="E553" s="24">
        <v>123.72</v>
      </c>
      <c r="F553" s="24">
        <v>123.72</v>
      </c>
      <c r="G553" s="24"/>
      <c r="H553" s="24"/>
      <c r="I553" s="24"/>
      <c r="J553" s="24"/>
      <c r="K553" s="24"/>
      <c r="L553" s="24"/>
      <c r="M553" s="24"/>
      <c r="N553" s="24"/>
      <c r="O553" s="24"/>
      <c r="P553" s="24"/>
      <c r="Q553" s="24"/>
      <c r="R553" s="24"/>
      <c r="S553" s="24"/>
      <c r="T553" s="22"/>
      <c r="U553" s="22"/>
    </row>
    <row r="554" spans="1:21" ht="18" hidden="1" customHeight="1">
      <c r="A554" s="20"/>
      <c r="B554" s="33" t="s">
        <v>712</v>
      </c>
      <c r="C554" s="34">
        <v>7649561</v>
      </c>
      <c r="D554" s="44">
        <v>2700</v>
      </c>
      <c r="E554" s="24">
        <v>210.33</v>
      </c>
      <c r="F554" s="24">
        <v>210.33</v>
      </c>
      <c r="G554" s="24"/>
      <c r="H554" s="24"/>
      <c r="I554" s="24"/>
      <c r="J554" s="24"/>
      <c r="K554" s="24"/>
      <c r="L554" s="24"/>
      <c r="M554" s="24"/>
      <c r="N554" s="24"/>
      <c r="O554" s="24"/>
      <c r="P554" s="24"/>
      <c r="Q554" s="24"/>
      <c r="R554" s="24"/>
      <c r="S554" s="24"/>
      <c r="T554" s="22"/>
      <c r="U554" s="22"/>
    </row>
    <row r="555" spans="1:21" ht="33.75" hidden="1">
      <c r="A555" s="20"/>
      <c r="B555" s="33" t="s">
        <v>713</v>
      </c>
      <c r="C555" s="34">
        <v>7629103</v>
      </c>
      <c r="D555" s="22">
        <v>683</v>
      </c>
      <c r="E555" s="24">
        <v>683</v>
      </c>
      <c r="F555" s="24"/>
      <c r="G555" s="24"/>
      <c r="H555" s="24"/>
      <c r="I555" s="24"/>
      <c r="J555" s="24"/>
      <c r="K555" s="24"/>
      <c r="L555" s="24"/>
      <c r="M555" s="24"/>
      <c r="N555" s="24"/>
      <c r="O555" s="24">
        <v>683</v>
      </c>
      <c r="P555" s="24"/>
      <c r="Q555" s="24"/>
      <c r="R555" s="24"/>
      <c r="S555" s="24"/>
      <c r="T555" s="22"/>
      <c r="U555" s="22"/>
    </row>
    <row r="556" spans="1:21" ht="33.75" hidden="1">
      <c r="A556" s="20"/>
      <c r="B556" s="49" t="s">
        <v>714</v>
      </c>
      <c r="C556" s="34">
        <v>7603824</v>
      </c>
      <c r="D556" s="22"/>
      <c r="E556" s="24">
        <v>367.68</v>
      </c>
      <c r="F556" s="24"/>
      <c r="G556" s="24"/>
      <c r="H556" s="24"/>
      <c r="I556" s="24"/>
      <c r="J556" s="24"/>
      <c r="K556" s="24"/>
      <c r="L556" s="24"/>
      <c r="M556" s="24"/>
      <c r="N556" s="24"/>
      <c r="O556" s="24">
        <v>367.68</v>
      </c>
      <c r="P556" s="24"/>
      <c r="Q556" s="24"/>
      <c r="R556" s="24"/>
      <c r="S556" s="24"/>
      <c r="T556" s="22"/>
      <c r="U556" s="22"/>
    </row>
    <row r="557" spans="1:21" ht="22.5" hidden="1">
      <c r="A557" s="20"/>
      <c r="B557" s="49" t="s">
        <v>715</v>
      </c>
      <c r="C557" s="34">
        <v>7596036</v>
      </c>
      <c r="D557" s="22"/>
      <c r="E557" s="24">
        <v>127.65</v>
      </c>
      <c r="F557" s="24"/>
      <c r="G557" s="24"/>
      <c r="H557" s="24"/>
      <c r="I557" s="24"/>
      <c r="J557" s="24"/>
      <c r="K557" s="24"/>
      <c r="L557" s="24"/>
      <c r="M557" s="24"/>
      <c r="N557" s="24"/>
      <c r="O557" s="24">
        <v>127.65</v>
      </c>
      <c r="P557" s="24">
        <v>127.65</v>
      </c>
      <c r="Q557" s="24"/>
      <c r="R557" s="24"/>
      <c r="S557" s="24"/>
      <c r="T557" s="22"/>
      <c r="U557" s="22"/>
    </row>
    <row r="558" spans="1:21" ht="22.5" hidden="1">
      <c r="A558" s="20"/>
      <c r="B558" s="49" t="s">
        <v>716</v>
      </c>
      <c r="C558" s="34">
        <v>7596131</v>
      </c>
      <c r="D558" s="22"/>
      <c r="E558" s="24">
        <v>135.19999999999999</v>
      </c>
      <c r="F558" s="24"/>
      <c r="G558" s="24"/>
      <c r="H558" s="24"/>
      <c r="I558" s="24"/>
      <c r="J558" s="24"/>
      <c r="K558" s="24"/>
      <c r="L558" s="24"/>
      <c r="M558" s="24"/>
      <c r="N558" s="24"/>
      <c r="O558" s="24">
        <v>135.19999999999999</v>
      </c>
      <c r="P558" s="24">
        <v>135.19999999999999</v>
      </c>
      <c r="Q558" s="24"/>
      <c r="R558" s="24"/>
      <c r="S558" s="24"/>
      <c r="T558" s="22"/>
      <c r="U558" s="22"/>
    </row>
    <row r="559" spans="1:21" ht="22.5" hidden="1">
      <c r="A559" s="20"/>
      <c r="B559" s="49" t="s">
        <v>717</v>
      </c>
      <c r="C559" s="34">
        <v>7596133</v>
      </c>
      <c r="D559" s="22"/>
      <c r="E559" s="24">
        <v>135.19999999999999</v>
      </c>
      <c r="F559" s="24"/>
      <c r="G559" s="24"/>
      <c r="H559" s="24"/>
      <c r="I559" s="24"/>
      <c r="J559" s="24"/>
      <c r="K559" s="24"/>
      <c r="L559" s="24"/>
      <c r="M559" s="24"/>
      <c r="N559" s="24"/>
      <c r="O559" s="24">
        <v>135.19999999999999</v>
      </c>
      <c r="P559" s="24">
        <v>135.19999999999999</v>
      </c>
      <c r="Q559" s="24"/>
      <c r="R559" s="24"/>
      <c r="S559" s="24"/>
      <c r="T559" s="22"/>
      <c r="U559" s="22"/>
    </row>
    <row r="560" spans="1:21" ht="22.5" hidden="1">
      <c r="A560" s="20"/>
      <c r="B560" s="49" t="s">
        <v>718</v>
      </c>
      <c r="C560" s="34">
        <v>7621150</v>
      </c>
      <c r="D560" s="22"/>
      <c r="E560" s="24">
        <v>144.94999999999999</v>
      </c>
      <c r="F560" s="24"/>
      <c r="G560" s="24"/>
      <c r="H560" s="24"/>
      <c r="I560" s="24"/>
      <c r="J560" s="24"/>
      <c r="K560" s="24"/>
      <c r="L560" s="24"/>
      <c r="M560" s="24"/>
      <c r="N560" s="24"/>
      <c r="O560" s="24">
        <v>144.94999999999999</v>
      </c>
      <c r="P560" s="24">
        <v>144.94999999999999</v>
      </c>
      <c r="Q560" s="24"/>
      <c r="R560" s="24"/>
      <c r="S560" s="24"/>
      <c r="T560" s="22"/>
      <c r="U560" s="22"/>
    </row>
    <row r="561" spans="1:21" ht="22.5" hidden="1">
      <c r="A561" s="20"/>
      <c r="B561" s="49" t="s">
        <v>719</v>
      </c>
      <c r="C561" s="34">
        <v>7603587</v>
      </c>
      <c r="D561" s="22"/>
      <c r="E561" s="24">
        <v>74.95</v>
      </c>
      <c r="F561" s="24"/>
      <c r="G561" s="24"/>
      <c r="H561" s="24"/>
      <c r="I561" s="24"/>
      <c r="J561" s="24"/>
      <c r="K561" s="24"/>
      <c r="L561" s="24"/>
      <c r="M561" s="24"/>
      <c r="N561" s="24"/>
      <c r="O561" s="24">
        <v>74.95</v>
      </c>
      <c r="P561" s="24"/>
      <c r="Q561" s="24">
        <v>74.95</v>
      </c>
      <c r="R561" s="24"/>
      <c r="S561" s="24"/>
      <c r="T561" s="22"/>
      <c r="U561" s="22"/>
    </row>
    <row r="562" spans="1:21" ht="22.5" hidden="1">
      <c r="A562" s="20"/>
      <c r="B562" s="49" t="s">
        <v>720</v>
      </c>
      <c r="C562" s="34">
        <v>7603591</v>
      </c>
      <c r="D562" s="22"/>
      <c r="E562" s="24">
        <v>70</v>
      </c>
      <c r="F562" s="24"/>
      <c r="G562" s="24"/>
      <c r="H562" s="24"/>
      <c r="I562" s="24"/>
      <c r="J562" s="24"/>
      <c r="K562" s="24"/>
      <c r="L562" s="24"/>
      <c r="M562" s="24"/>
      <c r="N562" s="24"/>
      <c r="O562" s="24">
        <v>70</v>
      </c>
      <c r="P562" s="24"/>
      <c r="Q562" s="24">
        <v>70</v>
      </c>
      <c r="R562" s="24"/>
      <c r="S562" s="24"/>
      <c r="T562" s="22"/>
      <c r="U562" s="22"/>
    </row>
    <row r="563" spans="1:21" ht="33.75" hidden="1">
      <c r="A563" s="20"/>
      <c r="B563" s="49" t="s">
        <v>721</v>
      </c>
      <c r="C563" s="34">
        <v>7603818</v>
      </c>
      <c r="D563" s="22"/>
      <c r="E563" s="24">
        <v>50</v>
      </c>
      <c r="F563" s="24"/>
      <c r="G563" s="24"/>
      <c r="H563" s="24"/>
      <c r="I563" s="24"/>
      <c r="J563" s="24"/>
      <c r="K563" s="24"/>
      <c r="L563" s="24"/>
      <c r="M563" s="24"/>
      <c r="N563" s="24"/>
      <c r="O563" s="24">
        <v>50</v>
      </c>
      <c r="P563" s="24">
        <v>50</v>
      </c>
      <c r="Q563" s="24"/>
      <c r="R563" s="24"/>
      <c r="S563" s="24"/>
      <c r="T563" s="22"/>
      <c r="U563" s="22"/>
    </row>
    <row r="564" spans="1:21" ht="22.5" hidden="1">
      <c r="A564" s="20"/>
      <c r="B564" s="49" t="s">
        <v>722</v>
      </c>
      <c r="C564" s="34">
        <v>7603821</v>
      </c>
      <c r="D564" s="22"/>
      <c r="E564" s="24">
        <v>35.6</v>
      </c>
      <c r="F564" s="24"/>
      <c r="G564" s="24"/>
      <c r="H564" s="24"/>
      <c r="I564" s="24"/>
      <c r="J564" s="24"/>
      <c r="K564" s="24"/>
      <c r="L564" s="24"/>
      <c r="M564" s="24"/>
      <c r="N564" s="24"/>
      <c r="O564" s="24">
        <v>35.6</v>
      </c>
      <c r="P564" s="24">
        <v>35.6</v>
      </c>
      <c r="Q564" s="24"/>
      <c r="R564" s="24"/>
      <c r="S564" s="24"/>
      <c r="T564" s="22"/>
      <c r="U564" s="22"/>
    </row>
    <row r="565" spans="1:21" ht="33.75" hidden="1">
      <c r="A565" s="20"/>
      <c r="B565" s="49" t="s">
        <v>723</v>
      </c>
      <c r="C565" s="34">
        <v>7603827</v>
      </c>
      <c r="D565" s="22"/>
      <c r="E565" s="24">
        <v>18.95</v>
      </c>
      <c r="F565" s="24"/>
      <c r="G565" s="24"/>
      <c r="H565" s="24"/>
      <c r="I565" s="24"/>
      <c r="J565" s="24"/>
      <c r="K565" s="24"/>
      <c r="L565" s="24"/>
      <c r="M565" s="24"/>
      <c r="N565" s="24"/>
      <c r="O565" s="24">
        <v>18.95</v>
      </c>
      <c r="P565" s="24">
        <v>18.95</v>
      </c>
      <c r="Q565" s="24"/>
      <c r="R565" s="24"/>
      <c r="S565" s="24"/>
      <c r="T565" s="22"/>
      <c r="U565" s="22"/>
    </row>
    <row r="566" spans="1:21" hidden="1">
      <c r="A566" s="20"/>
      <c r="B566" s="49" t="s">
        <v>724</v>
      </c>
      <c r="C566" s="34">
        <v>7603830</v>
      </c>
      <c r="D566" s="22"/>
      <c r="E566" s="24">
        <v>40.4</v>
      </c>
      <c r="F566" s="24"/>
      <c r="G566" s="24"/>
      <c r="H566" s="24"/>
      <c r="I566" s="24"/>
      <c r="J566" s="24"/>
      <c r="K566" s="24"/>
      <c r="L566" s="24"/>
      <c r="M566" s="24"/>
      <c r="N566" s="24"/>
      <c r="O566" s="24">
        <v>40.4</v>
      </c>
      <c r="P566" s="24"/>
      <c r="Q566" s="24"/>
      <c r="R566" s="24"/>
      <c r="S566" s="24"/>
      <c r="T566" s="22"/>
      <c r="U566" s="22"/>
    </row>
    <row r="567" spans="1:21" ht="22.5" hidden="1">
      <c r="A567" s="20"/>
      <c r="B567" s="49" t="s">
        <v>725</v>
      </c>
      <c r="C567" s="34">
        <v>7605552</v>
      </c>
      <c r="D567" s="22"/>
      <c r="E567" s="24">
        <v>35</v>
      </c>
      <c r="F567" s="24"/>
      <c r="G567" s="24"/>
      <c r="H567" s="24"/>
      <c r="I567" s="24"/>
      <c r="J567" s="24"/>
      <c r="K567" s="24"/>
      <c r="L567" s="24"/>
      <c r="M567" s="24"/>
      <c r="N567" s="24"/>
      <c r="O567" s="24">
        <v>35</v>
      </c>
      <c r="P567" s="24">
        <v>35</v>
      </c>
      <c r="Q567" s="24"/>
      <c r="R567" s="24"/>
      <c r="S567" s="24"/>
      <c r="T567" s="22"/>
      <c r="U567" s="22"/>
    </row>
    <row r="568" spans="1:21" ht="22.5" hidden="1">
      <c r="A568" s="20"/>
      <c r="B568" s="49" t="s">
        <v>726</v>
      </c>
      <c r="C568" s="34">
        <v>7605556</v>
      </c>
      <c r="D568" s="22"/>
      <c r="E568" s="24">
        <v>39.950000000000003</v>
      </c>
      <c r="F568" s="24"/>
      <c r="G568" s="24"/>
      <c r="H568" s="24"/>
      <c r="I568" s="24"/>
      <c r="J568" s="24"/>
      <c r="K568" s="24"/>
      <c r="L568" s="24"/>
      <c r="M568" s="24"/>
      <c r="N568" s="24"/>
      <c r="O568" s="24">
        <v>39.950000000000003</v>
      </c>
      <c r="P568" s="24">
        <v>39.950000000000003</v>
      </c>
      <c r="Q568" s="24"/>
      <c r="R568" s="24"/>
      <c r="S568" s="24"/>
      <c r="T568" s="22"/>
      <c r="U568" s="22"/>
    </row>
    <row r="569" spans="1:21" ht="33.75" hidden="1">
      <c r="A569" s="20"/>
      <c r="B569" s="49" t="s">
        <v>727</v>
      </c>
      <c r="C569" s="34">
        <v>7605560</v>
      </c>
      <c r="D569" s="22"/>
      <c r="E569" s="24">
        <v>70</v>
      </c>
      <c r="F569" s="24"/>
      <c r="G569" s="24"/>
      <c r="H569" s="24"/>
      <c r="I569" s="24"/>
      <c r="J569" s="24"/>
      <c r="K569" s="24"/>
      <c r="L569" s="24"/>
      <c r="M569" s="24"/>
      <c r="N569" s="24"/>
      <c r="O569" s="24">
        <v>70</v>
      </c>
      <c r="P569" s="24">
        <v>70</v>
      </c>
      <c r="Q569" s="24"/>
      <c r="R569" s="24"/>
      <c r="S569" s="24"/>
      <c r="T569" s="22"/>
      <c r="U569" s="22"/>
    </row>
    <row r="570" spans="1:21" hidden="1">
      <c r="A570" s="20"/>
      <c r="B570" s="49" t="s">
        <v>728</v>
      </c>
      <c r="C570" s="34">
        <v>7601335</v>
      </c>
      <c r="D570" s="22"/>
      <c r="E570" s="24">
        <v>144.94999999999999</v>
      </c>
      <c r="F570" s="24"/>
      <c r="G570" s="24"/>
      <c r="H570" s="24"/>
      <c r="I570" s="24"/>
      <c r="J570" s="24"/>
      <c r="K570" s="24">
        <v>144.94999999999999</v>
      </c>
      <c r="L570" s="24"/>
      <c r="M570" s="24"/>
      <c r="N570" s="24"/>
      <c r="O570" s="24"/>
      <c r="P570" s="24"/>
      <c r="Q570" s="24"/>
      <c r="R570" s="24"/>
      <c r="S570" s="24"/>
      <c r="T570" s="22"/>
      <c r="U570" s="22"/>
    </row>
    <row r="571" spans="1:21" hidden="1">
      <c r="A571" s="20"/>
      <c r="B571" s="49" t="s">
        <v>729</v>
      </c>
      <c r="C571" s="34">
        <v>7615547</v>
      </c>
      <c r="D571" s="22"/>
      <c r="E571" s="24">
        <v>144.94999999999999</v>
      </c>
      <c r="F571" s="24"/>
      <c r="G571" s="24"/>
      <c r="H571" s="24"/>
      <c r="I571" s="24"/>
      <c r="J571" s="24"/>
      <c r="K571" s="24"/>
      <c r="L571" s="24"/>
      <c r="M571" s="24"/>
      <c r="N571" s="24"/>
      <c r="O571" s="24">
        <v>144.94999999999999</v>
      </c>
      <c r="P571" s="24">
        <v>144.94999999999999</v>
      </c>
      <c r="Q571" s="24"/>
      <c r="R571" s="24"/>
      <c r="S571" s="24"/>
      <c r="T571" s="22"/>
      <c r="U571" s="22"/>
    </row>
    <row r="572" spans="1:21">
      <c r="A572" s="243">
        <v>44</v>
      </c>
      <c r="B572" s="18" t="s">
        <v>730</v>
      </c>
      <c r="C572" s="18"/>
      <c r="D572" s="19">
        <v>52964.036</v>
      </c>
      <c r="E572" s="124">
        <v>25300.0468</v>
      </c>
      <c r="F572" s="124">
        <v>10085.102999999999</v>
      </c>
      <c r="G572" s="124">
        <v>0</v>
      </c>
      <c r="H572" s="124">
        <v>0</v>
      </c>
      <c r="I572" s="124">
        <v>0</v>
      </c>
      <c r="J572" s="124">
        <v>1425</v>
      </c>
      <c r="K572" s="124">
        <v>4096.6067999999996</v>
      </c>
      <c r="L572" s="124">
        <v>0</v>
      </c>
      <c r="M572" s="124">
        <v>0</v>
      </c>
      <c r="N572" s="124">
        <v>0</v>
      </c>
      <c r="O572" s="124">
        <v>7965.3730000000005</v>
      </c>
      <c r="P572" s="124">
        <v>5025.66</v>
      </c>
      <c r="Q572" s="124">
        <v>0</v>
      </c>
      <c r="R572" s="124">
        <v>1727.9639999999999</v>
      </c>
      <c r="S572" s="124">
        <v>0</v>
      </c>
      <c r="T572" s="19">
        <v>0</v>
      </c>
      <c r="U572" s="22"/>
    </row>
    <row r="573" spans="1:21" s="41" customFormat="1" hidden="1">
      <c r="A573" s="37"/>
      <c r="B573" s="38" t="s">
        <v>294</v>
      </c>
      <c r="C573" s="38"/>
      <c r="D573" s="39">
        <v>10681.036</v>
      </c>
      <c r="E573" s="61">
        <v>9445.4860000000008</v>
      </c>
      <c r="F573" s="61">
        <v>4520</v>
      </c>
      <c r="G573" s="61">
        <v>0</v>
      </c>
      <c r="H573" s="61">
        <v>0</v>
      </c>
      <c r="I573" s="61">
        <v>0</v>
      </c>
      <c r="J573" s="61">
        <v>0</v>
      </c>
      <c r="K573" s="61">
        <v>1583.8689999999999</v>
      </c>
      <c r="L573" s="61">
        <v>0</v>
      </c>
      <c r="M573" s="61">
        <v>0</v>
      </c>
      <c r="N573" s="61">
        <v>0</v>
      </c>
      <c r="O573" s="61">
        <v>1613.653</v>
      </c>
      <c r="P573" s="61">
        <v>97.167000000000002</v>
      </c>
      <c r="Q573" s="61">
        <v>0</v>
      </c>
      <c r="R573" s="61">
        <v>1727.9639999999999</v>
      </c>
      <c r="S573" s="61">
        <v>0</v>
      </c>
      <c r="T573" s="39">
        <v>0</v>
      </c>
      <c r="U573" s="39"/>
    </row>
    <row r="574" spans="1:21" ht="22.5" hidden="1">
      <c r="A574" s="243"/>
      <c r="B574" s="33" t="s">
        <v>731</v>
      </c>
      <c r="C574" s="100">
        <v>7574114</v>
      </c>
      <c r="D574" s="44">
        <v>1400</v>
      </c>
      <c r="E574" s="482">
        <v>1920</v>
      </c>
      <c r="F574" s="24">
        <v>1920</v>
      </c>
      <c r="G574" s="24"/>
      <c r="H574" s="24"/>
      <c r="I574" s="24"/>
      <c r="J574" s="24"/>
      <c r="K574" s="24"/>
      <c r="L574" s="24"/>
      <c r="M574" s="24"/>
      <c r="N574" s="24"/>
      <c r="O574" s="24"/>
      <c r="P574" s="24"/>
      <c r="Q574" s="24"/>
      <c r="R574" s="24"/>
      <c r="S574" s="24"/>
      <c r="T574" s="22"/>
      <c r="U574" s="22"/>
    </row>
    <row r="575" spans="1:21" ht="22.5" hidden="1">
      <c r="A575" s="243"/>
      <c r="B575" s="33" t="s">
        <v>732</v>
      </c>
      <c r="C575" s="100">
        <v>7574117</v>
      </c>
      <c r="D575" s="44">
        <v>1400</v>
      </c>
      <c r="E575" s="482">
        <v>1700</v>
      </c>
      <c r="F575" s="24">
        <v>1700</v>
      </c>
      <c r="G575" s="24"/>
      <c r="H575" s="24"/>
      <c r="I575" s="24"/>
      <c r="J575" s="24"/>
      <c r="K575" s="24"/>
      <c r="L575" s="24"/>
      <c r="M575" s="24"/>
      <c r="N575" s="24"/>
      <c r="O575" s="24"/>
      <c r="P575" s="24"/>
      <c r="Q575" s="24"/>
      <c r="R575" s="24"/>
      <c r="S575" s="24"/>
      <c r="T575" s="22"/>
      <c r="U575" s="22"/>
    </row>
    <row r="576" spans="1:21" ht="22.5" hidden="1">
      <c r="A576" s="243"/>
      <c r="B576" s="33" t="s">
        <v>733</v>
      </c>
      <c r="C576" s="100">
        <v>7630382</v>
      </c>
      <c r="D576" s="44">
        <v>800</v>
      </c>
      <c r="E576" s="482">
        <v>150</v>
      </c>
      <c r="F576" s="24">
        <v>150</v>
      </c>
      <c r="G576" s="24"/>
      <c r="H576" s="24"/>
      <c r="I576" s="24"/>
      <c r="J576" s="24"/>
      <c r="K576" s="24"/>
      <c r="L576" s="24"/>
      <c r="M576" s="24"/>
      <c r="N576" s="24"/>
      <c r="O576" s="24"/>
      <c r="P576" s="24"/>
      <c r="Q576" s="24"/>
      <c r="R576" s="24"/>
      <c r="S576" s="24"/>
      <c r="T576" s="22"/>
      <c r="U576" s="22"/>
    </row>
    <row r="577" spans="1:21" hidden="1">
      <c r="A577" s="243"/>
      <c r="B577" s="33" t="s">
        <v>734</v>
      </c>
      <c r="C577" s="100">
        <v>7627186</v>
      </c>
      <c r="D577" s="44">
        <v>800</v>
      </c>
      <c r="E577" s="482">
        <v>150</v>
      </c>
      <c r="F577" s="24">
        <v>150</v>
      </c>
      <c r="G577" s="24"/>
      <c r="H577" s="24"/>
      <c r="I577" s="24"/>
      <c r="J577" s="24"/>
      <c r="K577" s="24"/>
      <c r="L577" s="24"/>
      <c r="M577" s="24"/>
      <c r="N577" s="24"/>
      <c r="O577" s="24"/>
      <c r="P577" s="24"/>
      <c r="Q577" s="24"/>
      <c r="R577" s="24"/>
      <c r="S577" s="24"/>
      <c r="T577" s="22"/>
      <c r="U577" s="22"/>
    </row>
    <row r="578" spans="1:21" hidden="1">
      <c r="A578" s="243"/>
      <c r="B578" s="33" t="s">
        <v>735</v>
      </c>
      <c r="C578" s="101">
        <v>7615894</v>
      </c>
      <c r="D578" s="44">
        <v>600</v>
      </c>
      <c r="E578" s="482">
        <v>600</v>
      </c>
      <c r="F578" s="24">
        <v>600</v>
      </c>
      <c r="G578" s="24"/>
      <c r="H578" s="24"/>
      <c r="I578" s="24"/>
      <c r="J578" s="24"/>
      <c r="K578" s="24"/>
      <c r="L578" s="24"/>
      <c r="M578" s="24"/>
      <c r="N578" s="24"/>
      <c r="O578" s="24"/>
      <c r="P578" s="24"/>
      <c r="Q578" s="24"/>
      <c r="R578" s="24"/>
      <c r="S578" s="24"/>
      <c r="T578" s="22"/>
      <c r="U578" s="22"/>
    </row>
    <row r="579" spans="1:21" ht="33.75" hidden="1">
      <c r="A579" s="243"/>
      <c r="B579" s="102" t="s">
        <v>736</v>
      </c>
      <c r="C579" s="105" t="s">
        <v>737</v>
      </c>
      <c r="D579" s="22">
        <v>2000</v>
      </c>
      <c r="E579" s="24">
        <v>1516.4860000000001</v>
      </c>
      <c r="F579" s="24"/>
      <c r="G579" s="24"/>
      <c r="H579" s="24"/>
      <c r="I579" s="24"/>
      <c r="J579" s="24"/>
      <c r="K579" s="24"/>
      <c r="L579" s="24"/>
      <c r="M579" s="24"/>
      <c r="N579" s="24"/>
      <c r="O579" s="24">
        <v>1516.4860000000001</v>
      </c>
      <c r="P579" s="24"/>
      <c r="Q579" s="24"/>
      <c r="R579" s="24"/>
      <c r="S579" s="24"/>
      <c r="T579" s="22"/>
      <c r="U579" s="22"/>
    </row>
    <row r="580" spans="1:21" ht="45" hidden="1">
      <c r="A580" s="243"/>
      <c r="B580" s="45" t="s">
        <v>738</v>
      </c>
      <c r="C580" s="43">
        <v>7151333</v>
      </c>
      <c r="D580" s="44">
        <v>97.167000000000002</v>
      </c>
      <c r="E580" s="482">
        <v>97.167000000000002</v>
      </c>
      <c r="F580" s="24"/>
      <c r="G580" s="24"/>
      <c r="H580" s="24"/>
      <c r="I580" s="24"/>
      <c r="J580" s="24"/>
      <c r="K580" s="24"/>
      <c r="L580" s="24"/>
      <c r="M580" s="24"/>
      <c r="N580" s="24"/>
      <c r="O580" s="482">
        <v>97.167000000000002</v>
      </c>
      <c r="P580" s="482">
        <v>97.167000000000002</v>
      </c>
      <c r="Q580" s="24"/>
      <c r="R580" s="24"/>
      <c r="S580" s="24"/>
      <c r="T580" s="22"/>
      <c r="U580" s="22"/>
    </row>
    <row r="581" spans="1:21" ht="22.5" hidden="1">
      <c r="A581" s="243"/>
      <c r="B581" s="45" t="s">
        <v>739</v>
      </c>
      <c r="C581" s="43">
        <v>7380737</v>
      </c>
      <c r="D581" s="44">
        <v>1583.8689999999999</v>
      </c>
      <c r="E581" s="482">
        <v>1583.8689999999999</v>
      </c>
      <c r="F581" s="24"/>
      <c r="G581" s="24"/>
      <c r="H581" s="24"/>
      <c r="I581" s="24"/>
      <c r="J581" s="24"/>
      <c r="K581" s="482">
        <v>1583.8689999999999</v>
      </c>
      <c r="L581" s="24"/>
      <c r="M581" s="24"/>
      <c r="N581" s="24"/>
      <c r="O581" s="482"/>
      <c r="P581" s="24"/>
      <c r="Q581" s="24"/>
      <c r="R581" s="24"/>
      <c r="S581" s="24"/>
      <c r="T581" s="22"/>
      <c r="U581" s="22"/>
    </row>
    <row r="582" spans="1:21" ht="22.5" hidden="1">
      <c r="A582" s="243"/>
      <c r="B582" s="49" t="s">
        <v>740</v>
      </c>
      <c r="C582" s="105" t="s">
        <v>741</v>
      </c>
      <c r="D582" s="22">
        <v>2000</v>
      </c>
      <c r="E582" s="24">
        <v>1727.9639999999999</v>
      </c>
      <c r="F582" s="24"/>
      <c r="G582" s="24"/>
      <c r="H582" s="24"/>
      <c r="I582" s="24"/>
      <c r="J582" s="24"/>
      <c r="K582" s="24"/>
      <c r="L582" s="24"/>
      <c r="M582" s="24"/>
      <c r="N582" s="24"/>
      <c r="O582" s="24"/>
      <c r="P582" s="24"/>
      <c r="Q582" s="24"/>
      <c r="R582" s="24">
        <v>1727.9639999999999</v>
      </c>
      <c r="S582" s="24"/>
      <c r="T582" s="22"/>
      <c r="U582" s="22"/>
    </row>
    <row r="583" spans="1:21" s="46" customFormat="1" hidden="1">
      <c r="A583" s="37"/>
      <c r="B583" s="126" t="s">
        <v>280</v>
      </c>
      <c r="C583" s="159"/>
      <c r="D583" s="39">
        <v>0</v>
      </c>
      <c r="E583" s="61">
        <v>1418.2460000000001</v>
      </c>
      <c r="F583" s="61">
        <v>0</v>
      </c>
      <c r="G583" s="61">
        <v>0</v>
      </c>
      <c r="H583" s="61">
        <v>0</v>
      </c>
      <c r="I583" s="61">
        <v>0</v>
      </c>
      <c r="J583" s="61">
        <v>0</v>
      </c>
      <c r="K583" s="61">
        <v>0</v>
      </c>
      <c r="L583" s="61">
        <v>0</v>
      </c>
      <c r="M583" s="61">
        <v>0</v>
      </c>
      <c r="N583" s="61">
        <v>0</v>
      </c>
      <c r="O583" s="61">
        <v>1418.2460000000001</v>
      </c>
      <c r="P583" s="61">
        <v>0</v>
      </c>
      <c r="Q583" s="61">
        <v>0</v>
      </c>
      <c r="R583" s="61">
        <v>0</v>
      </c>
      <c r="S583" s="61">
        <v>0</v>
      </c>
      <c r="T583" s="39">
        <v>0</v>
      </c>
      <c r="U583" s="39"/>
    </row>
    <row r="584" spans="1:21" ht="33.75" hidden="1">
      <c r="A584" s="243"/>
      <c r="B584" s="33" t="s">
        <v>742</v>
      </c>
      <c r="C584" s="34">
        <v>7272513</v>
      </c>
      <c r="D584" s="22"/>
      <c r="E584" s="24">
        <v>1418.2460000000001</v>
      </c>
      <c r="F584" s="24"/>
      <c r="G584" s="24"/>
      <c r="H584" s="24"/>
      <c r="I584" s="24"/>
      <c r="J584" s="24"/>
      <c r="K584" s="24"/>
      <c r="L584" s="24"/>
      <c r="M584" s="24"/>
      <c r="N584" s="24"/>
      <c r="O584" s="24">
        <v>1418.2460000000001</v>
      </c>
      <c r="P584" s="24"/>
      <c r="Q584" s="24"/>
      <c r="R584" s="24"/>
      <c r="S584" s="24"/>
      <c r="T584" s="22"/>
      <c r="U584" s="22"/>
    </row>
    <row r="585" spans="1:21" s="41" customFormat="1" hidden="1">
      <c r="A585" s="37"/>
      <c r="B585" s="38" t="s">
        <v>281</v>
      </c>
      <c r="C585" s="38"/>
      <c r="D585" s="39">
        <v>2100</v>
      </c>
      <c r="E585" s="61">
        <v>2025</v>
      </c>
      <c r="F585" s="61">
        <v>600</v>
      </c>
      <c r="G585" s="61">
        <v>0</v>
      </c>
      <c r="H585" s="61">
        <v>0</v>
      </c>
      <c r="I585" s="61">
        <v>0</v>
      </c>
      <c r="J585" s="61">
        <v>1425</v>
      </c>
      <c r="K585" s="61">
        <v>0</v>
      </c>
      <c r="L585" s="61">
        <v>0</v>
      </c>
      <c r="M585" s="61">
        <v>0</v>
      </c>
      <c r="N585" s="61">
        <v>0</v>
      </c>
      <c r="O585" s="61">
        <v>0</v>
      </c>
      <c r="P585" s="61">
        <v>0</v>
      </c>
      <c r="Q585" s="61">
        <v>0</v>
      </c>
      <c r="R585" s="61">
        <v>0</v>
      </c>
      <c r="S585" s="61">
        <v>0</v>
      </c>
      <c r="T585" s="39">
        <v>0</v>
      </c>
      <c r="U585" s="93"/>
    </row>
    <row r="586" spans="1:21" ht="22.5" hidden="1">
      <c r="A586" s="243"/>
      <c r="B586" s="139" t="s">
        <v>743</v>
      </c>
      <c r="C586" s="138">
        <v>7627185</v>
      </c>
      <c r="D586" s="22">
        <v>1500</v>
      </c>
      <c r="E586" s="24">
        <v>1425</v>
      </c>
      <c r="F586" s="24"/>
      <c r="G586" s="24"/>
      <c r="H586" s="24"/>
      <c r="I586" s="24"/>
      <c r="J586" s="24">
        <v>1425</v>
      </c>
      <c r="K586" s="24"/>
      <c r="L586" s="24"/>
      <c r="M586" s="24"/>
      <c r="N586" s="24"/>
      <c r="O586" s="24"/>
      <c r="P586" s="24"/>
      <c r="Q586" s="24"/>
      <c r="R586" s="24"/>
      <c r="S586" s="24"/>
      <c r="T586" s="22"/>
      <c r="U586" s="22"/>
    </row>
    <row r="587" spans="1:21" hidden="1">
      <c r="A587" s="243"/>
      <c r="B587" s="160" t="s">
        <v>735</v>
      </c>
      <c r="C587" s="101" t="s">
        <v>744</v>
      </c>
      <c r="D587" s="22">
        <v>600</v>
      </c>
      <c r="E587" s="24">
        <v>600</v>
      </c>
      <c r="F587" s="24">
        <v>600</v>
      </c>
      <c r="G587" s="24"/>
      <c r="H587" s="24"/>
      <c r="I587" s="24"/>
      <c r="J587" s="24"/>
      <c r="K587" s="24"/>
      <c r="L587" s="24"/>
      <c r="M587" s="24"/>
      <c r="N587" s="24"/>
      <c r="O587" s="24"/>
      <c r="P587" s="24"/>
      <c r="Q587" s="24"/>
      <c r="R587" s="24"/>
      <c r="S587" s="24"/>
      <c r="T587" s="22"/>
      <c r="U587" s="22"/>
    </row>
    <row r="588" spans="1:21" s="41" customFormat="1" ht="22.5" hidden="1">
      <c r="A588" s="37"/>
      <c r="B588" s="38" t="s">
        <v>707</v>
      </c>
      <c r="C588" s="38"/>
      <c r="D588" s="39">
        <v>0</v>
      </c>
      <c r="E588" s="61">
        <v>2356.7179999999998</v>
      </c>
      <c r="F588" s="61">
        <v>1978.6469999999999</v>
      </c>
      <c r="G588" s="61">
        <v>0</v>
      </c>
      <c r="H588" s="61">
        <v>0</v>
      </c>
      <c r="I588" s="61">
        <v>0</v>
      </c>
      <c r="J588" s="61">
        <v>0</v>
      </c>
      <c r="K588" s="61">
        <v>0</v>
      </c>
      <c r="L588" s="61">
        <v>0</v>
      </c>
      <c r="M588" s="61">
        <v>0</v>
      </c>
      <c r="N588" s="61">
        <v>0</v>
      </c>
      <c r="O588" s="61">
        <v>378.07100000000003</v>
      </c>
      <c r="P588" s="61">
        <v>378.07100000000003</v>
      </c>
      <c r="Q588" s="61">
        <v>0</v>
      </c>
      <c r="R588" s="61">
        <v>0</v>
      </c>
      <c r="S588" s="61">
        <v>0</v>
      </c>
      <c r="T588" s="39">
        <v>0</v>
      </c>
      <c r="U588" s="93"/>
    </row>
    <row r="589" spans="1:21" hidden="1">
      <c r="A589" s="20"/>
      <c r="B589" s="33" t="s">
        <v>745</v>
      </c>
      <c r="C589" s="34">
        <v>7505161</v>
      </c>
      <c r="D589" s="22"/>
      <c r="E589" s="24">
        <v>2.544</v>
      </c>
      <c r="F589" s="24"/>
      <c r="G589" s="24"/>
      <c r="H589" s="24"/>
      <c r="I589" s="24"/>
      <c r="J589" s="24"/>
      <c r="K589" s="24"/>
      <c r="L589" s="24"/>
      <c r="M589" s="24"/>
      <c r="N589" s="24"/>
      <c r="O589" s="24">
        <v>2.544</v>
      </c>
      <c r="P589" s="24">
        <v>2.544</v>
      </c>
      <c r="Q589" s="24"/>
      <c r="R589" s="24"/>
      <c r="S589" s="24"/>
      <c r="T589" s="22"/>
      <c r="U589" s="22"/>
    </row>
    <row r="590" spans="1:21" ht="22.5" hidden="1">
      <c r="A590" s="20"/>
      <c r="B590" s="33" t="s">
        <v>746</v>
      </c>
      <c r="C590" s="34" t="s">
        <v>747</v>
      </c>
      <c r="D590" s="22"/>
      <c r="E590" s="24">
        <v>19.331</v>
      </c>
      <c r="F590" s="24"/>
      <c r="G590" s="24"/>
      <c r="H590" s="24"/>
      <c r="I590" s="24"/>
      <c r="J590" s="24"/>
      <c r="K590" s="24"/>
      <c r="L590" s="24"/>
      <c r="M590" s="24"/>
      <c r="N590" s="24"/>
      <c r="O590" s="24">
        <v>19.331</v>
      </c>
      <c r="P590" s="24">
        <v>19.331</v>
      </c>
      <c r="Q590" s="24"/>
      <c r="R590" s="24"/>
      <c r="S590" s="24"/>
      <c r="T590" s="22"/>
      <c r="U590" s="22"/>
    </row>
    <row r="591" spans="1:21" ht="33.75" hidden="1">
      <c r="A591" s="20"/>
      <c r="B591" s="33" t="s">
        <v>748</v>
      </c>
      <c r="C591" s="34">
        <v>7579929</v>
      </c>
      <c r="D591" s="22"/>
      <c r="E591" s="24">
        <v>834.38400000000001</v>
      </c>
      <c r="F591" s="24">
        <v>834.38400000000001</v>
      </c>
      <c r="G591" s="24"/>
      <c r="H591" s="24"/>
      <c r="I591" s="24"/>
      <c r="J591" s="24"/>
      <c r="K591" s="24"/>
      <c r="L591" s="24"/>
      <c r="M591" s="24"/>
      <c r="N591" s="24"/>
      <c r="O591" s="24"/>
      <c r="P591" s="24"/>
      <c r="Q591" s="24"/>
      <c r="R591" s="24"/>
      <c r="S591" s="24"/>
      <c r="T591" s="22"/>
      <c r="U591" s="22"/>
    </row>
    <row r="592" spans="1:21" ht="22.5" hidden="1">
      <c r="A592" s="20"/>
      <c r="B592" s="33" t="s">
        <v>749</v>
      </c>
      <c r="C592" s="34" t="s">
        <v>750</v>
      </c>
      <c r="D592" s="22"/>
      <c r="E592" s="24">
        <v>23.196000000000002</v>
      </c>
      <c r="F592" s="24"/>
      <c r="G592" s="24"/>
      <c r="H592" s="24"/>
      <c r="I592" s="24"/>
      <c r="J592" s="24"/>
      <c r="K592" s="24"/>
      <c r="L592" s="24"/>
      <c r="M592" s="24"/>
      <c r="N592" s="24"/>
      <c r="O592" s="24">
        <v>23.196000000000002</v>
      </c>
      <c r="P592" s="24">
        <v>23.196000000000002</v>
      </c>
      <c r="Q592" s="24"/>
      <c r="R592" s="24"/>
      <c r="S592" s="24"/>
      <c r="T592" s="22"/>
      <c r="U592" s="22"/>
    </row>
    <row r="593" spans="1:21" ht="33.75" hidden="1">
      <c r="A593" s="20"/>
      <c r="B593" s="33" t="s">
        <v>751</v>
      </c>
      <c r="C593" s="34" t="s">
        <v>752</v>
      </c>
      <c r="D593" s="22"/>
      <c r="E593" s="24">
        <v>393.26299999999998</v>
      </c>
      <c r="F593" s="24">
        <v>393.26299999999998</v>
      </c>
      <c r="G593" s="24"/>
      <c r="H593" s="24"/>
      <c r="I593" s="24"/>
      <c r="J593" s="24"/>
      <c r="K593" s="24"/>
      <c r="L593" s="24"/>
      <c r="M593" s="24"/>
      <c r="N593" s="24"/>
      <c r="O593" s="24"/>
      <c r="P593" s="24"/>
      <c r="Q593" s="24"/>
      <c r="R593" s="24"/>
      <c r="S593" s="24"/>
      <c r="T593" s="22"/>
      <c r="U593" s="22"/>
    </row>
    <row r="594" spans="1:21" ht="22.5" hidden="1">
      <c r="A594" s="20"/>
      <c r="B594" s="33" t="s">
        <v>753</v>
      </c>
      <c r="C594" s="34" t="s">
        <v>754</v>
      </c>
      <c r="D594" s="22"/>
      <c r="E594" s="24">
        <v>240</v>
      </c>
      <c r="F594" s="24">
        <v>240</v>
      </c>
      <c r="G594" s="24"/>
      <c r="H594" s="24"/>
      <c r="I594" s="24"/>
      <c r="J594" s="24"/>
      <c r="K594" s="24"/>
      <c r="L594" s="24"/>
      <c r="M594" s="24"/>
      <c r="N594" s="24"/>
      <c r="O594" s="24"/>
      <c r="P594" s="24"/>
      <c r="Q594" s="24"/>
      <c r="R594" s="24"/>
      <c r="S594" s="24"/>
      <c r="T594" s="22"/>
      <c r="U594" s="22"/>
    </row>
    <row r="595" spans="1:21" ht="33.75" hidden="1">
      <c r="A595" s="20"/>
      <c r="B595" s="33" t="s">
        <v>755</v>
      </c>
      <c r="C595" s="51" t="s">
        <v>756</v>
      </c>
      <c r="D595" s="22"/>
      <c r="E595" s="24">
        <v>100</v>
      </c>
      <c r="F595" s="24">
        <v>100</v>
      </c>
      <c r="G595" s="24"/>
      <c r="H595" s="24"/>
      <c r="I595" s="24"/>
      <c r="J595" s="24"/>
      <c r="K595" s="24"/>
      <c r="L595" s="24"/>
      <c r="M595" s="24"/>
      <c r="N595" s="24"/>
      <c r="O595" s="24"/>
      <c r="P595" s="24"/>
      <c r="Q595" s="24"/>
      <c r="R595" s="24"/>
      <c r="S595" s="24"/>
      <c r="T595" s="22"/>
      <c r="U595" s="22"/>
    </row>
    <row r="596" spans="1:21" ht="22.5" hidden="1">
      <c r="A596" s="20"/>
      <c r="B596" s="33" t="s">
        <v>757</v>
      </c>
      <c r="C596" s="34">
        <v>7579927</v>
      </c>
      <c r="D596" s="22"/>
      <c r="E596" s="24">
        <v>333</v>
      </c>
      <c r="F596" s="24"/>
      <c r="G596" s="24"/>
      <c r="H596" s="24"/>
      <c r="I596" s="24"/>
      <c r="J596" s="24"/>
      <c r="K596" s="24"/>
      <c r="L596" s="24"/>
      <c r="M596" s="24"/>
      <c r="N596" s="24"/>
      <c r="O596" s="24">
        <v>333</v>
      </c>
      <c r="P596" s="24">
        <v>333</v>
      </c>
      <c r="Q596" s="24"/>
      <c r="R596" s="24"/>
      <c r="S596" s="24"/>
      <c r="T596" s="22"/>
      <c r="U596" s="22"/>
    </row>
    <row r="597" spans="1:21" ht="22.5" hidden="1">
      <c r="A597" s="20"/>
      <c r="B597" s="33" t="s">
        <v>758</v>
      </c>
      <c r="C597" s="34">
        <v>7579932</v>
      </c>
      <c r="D597" s="22"/>
      <c r="E597" s="24">
        <v>411</v>
      </c>
      <c r="F597" s="24">
        <v>411</v>
      </c>
      <c r="G597" s="24"/>
      <c r="H597" s="24"/>
      <c r="I597" s="24"/>
      <c r="J597" s="24"/>
      <c r="K597" s="24"/>
      <c r="L597" s="24"/>
      <c r="M597" s="24"/>
      <c r="N597" s="24"/>
      <c r="O597" s="24"/>
      <c r="P597" s="24"/>
      <c r="Q597" s="24"/>
      <c r="R597" s="24"/>
      <c r="S597" s="24"/>
      <c r="T597" s="22"/>
      <c r="U597" s="22"/>
    </row>
    <row r="598" spans="1:21" s="41" customFormat="1" hidden="1">
      <c r="A598" s="37"/>
      <c r="B598" s="38" t="s">
        <v>283</v>
      </c>
      <c r="C598" s="38"/>
      <c r="D598" s="39">
        <v>3230</v>
      </c>
      <c r="E598" s="61">
        <v>3345.1950000000002</v>
      </c>
      <c r="F598" s="61">
        <v>0</v>
      </c>
      <c r="G598" s="61">
        <v>0</v>
      </c>
      <c r="H598" s="61">
        <v>0</v>
      </c>
      <c r="I598" s="61">
        <v>0</v>
      </c>
      <c r="J598" s="61">
        <v>0</v>
      </c>
      <c r="K598" s="61">
        <v>2500</v>
      </c>
      <c r="L598" s="61">
        <v>0</v>
      </c>
      <c r="M598" s="61">
        <v>0</v>
      </c>
      <c r="N598" s="61">
        <v>0</v>
      </c>
      <c r="O598" s="61">
        <v>845.19500000000005</v>
      </c>
      <c r="P598" s="61">
        <v>845.19500000000005</v>
      </c>
      <c r="Q598" s="61">
        <v>0</v>
      </c>
      <c r="R598" s="61">
        <v>0</v>
      </c>
      <c r="S598" s="61">
        <v>0</v>
      </c>
      <c r="T598" s="39">
        <v>0</v>
      </c>
      <c r="U598" s="93"/>
    </row>
    <row r="599" spans="1:21" ht="22.5" hidden="1">
      <c r="A599" s="243"/>
      <c r="B599" s="49" t="s">
        <v>759</v>
      </c>
      <c r="C599" s="47">
        <v>7509921</v>
      </c>
      <c r="D599" s="44">
        <v>730</v>
      </c>
      <c r="E599" s="24">
        <v>845.19500000000005</v>
      </c>
      <c r="F599" s="24"/>
      <c r="G599" s="24"/>
      <c r="H599" s="24"/>
      <c r="I599" s="24"/>
      <c r="J599" s="24"/>
      <c r="K599" s="24"/>
      <c r="L599" s="24"/>
      <c r="M599" s="24"/>
      <c r="N599" s="24"/>
      <c r="O599" s="24">
        <v>845.19500000000005</v>
      </c>
      <c r="P599" s="24">
        <v>845.19500000000005</v>
      </c>
      <c r="Q599" s="24"/>
      <c r="R599" s="24"/>
      <c r="S599" s="24"/>
      <c r="T599" s="22"/>
      <c r="U599" s="22"/>
    </row>
    <row r="600" spans="1:21" ht="33.75" hidden="1">
      <c r="A600" s="243"/>
      <c r="B600" s="161" t="s">
        <v>760</v>
      </c>
      <c r="C600" s="162" t="s">
        <v>761</v>
      </c>
      <c r="D600" s="22">
        <v>2500</v>
      </c>
      <c r="E600" s="24">
        <v>2500</v>
      </c>
      <c r="F600" s="24"/>
      <c r="G600" s="24"/>
      <c r="H600" s="24"/>
      <c r="I600" s="24"/>
      <c r="J600" s="24"/>
      <c r="K600" s="24">
        <v>2500</v>
      </c>
      <c r="L600" s="24"/>
      <c r="M600" s="24"/>
      <c r="N600" s="24"/>
      <c r="O600" s="24"/>
      <c r="P600" s="24"/>
      <c r="Q600" s="24"/>
      <c r="R600" s="24"/>
      <c r="S600" s="24"/>
      <c r="T600" s="22"/>
      <c r="U600" s="22"/>
    </row>
    <row r="601" spans="1:21" s="41" customFormat="1" hidden="1">
      <c r="A601" s="37"/>
      <c r="B601" s="38" t="s">
        <v>309</v>
      </c>
      <c r="C601" s="38"/>
      <c r="D601" s="39">
        <v>36953</v>
      </c>
      <c r="E601" s="61">
        <v>6709.4017999999987</v>
      </c>
      <c r="F601" s="61">
        <v>2986.4560000000001</v>
      </c>
      <c r="G601" s="61">
        <v>0</v>
      </c>
      <c r="H601" s="61">
        <v>0</v>
      </c>
      <c r="I601" s="61">
        <v>0</v>
      </c>
      <c r="J601" s="61">
        <v>0</v>
      </c>
      <c r="K601" s="61">
        <v>12.7378</v>
      </c>
      <c r="L601" s="61">
        <v>0</v>
      </c>
      <c r="M601" s="61">
        <v>0</v>
      </c>
      <c r="N601" s="61">
        <v>0</v>
      </c>
      <c r="O601" s="61">
        <v>3710.2080000000005</v>
      </c>
      <c r="P601" s="61">
        <v>3705.2270000000003</v>
      </c>
      <c r="Q601" s="61">
        <v>0</v>
      </c>
      <c r="R601" s="61">
        <v>0</v>
      </c>
      <c r="S601" s="61">
        <v>0</v>
      </c>
      <c r="T601" s="39">
        <v>0</v>
      </c>
      <c r="U601" s="93"/>
    </row>
    <row r="602" spans="1:21" hidden="1">
      <c r="A602" s="243"/>
      <c r="B602" s="33" t="s">
        <v>762</v>
      </c>
      <c r="C602" s="34">
        <v>7661332</v>
      </c>
      <c r="D602" s="44">
        <v>4320</v>
      </c>
      <c r="E602" s="24">
        <v>177.6</v>
      </c>
      <c r="F602" s="24">
        <v>177.6</v>
      </c>
      <c r="G602" s="24"/>
      <c r="H602" s="24"/>
      <c r="I602" s="24"/>
      <c r="J602" s="24"/>
      <c r="K602" s="24"/>
      <c r="L602" s="24"/>
      <c r="M602" s="24"/>
      <c r="N602" s="24"/>
      <c r="O602" s="24"/>
      <c r="P602" s="24"/>
      <c r="Q602" s="24"/>
      <c r="R602" s="24"/>
      <c r="S602" s="24"/>
      <c r="T602" s="22"/>
      <c r="U602" s="22"/>
    </row>
    <row r="603" spans="1:21" hidden="1">
      <c r="A603" s="243"/>
      <c r="B603" s="33" t="s">
        <v>763</v>
      </c>
      <c r="C603" s="34">
        <v>7661328</v>
      </c>
      <c r="D603" s="44">
        <v>2880</v>
      </c>
      <c r="E603" s="24">
        <v>124.37</v>
      </c>
      <c r="F603" s="24">
        <v>124.37</v>
      </c>
      <c r="G603" s="24"/>
      <c r="H603" s="24"/>
      <c r="I603" s="24"/>
      <c r="J603" s="24"/>
      <c r="K603" s="24"/>
      <c r="L603" s="24"/>
      <c r="M603" s="24"/>
      <c r="N603" s="24"/>
      <c r="O603" s="24"/>
      <c r="P603" s="24"/>
      <c r="Q603" s="24"/>
      <c r="R603" s="24"/>
      <c r="S603" s="24"/>
      <c r="T603" s="22"/>
      <c r="U603" s="22"/>
    </row>
    <row r="604" spans="1:21" hidden="1">
      <c r="A604" s="243"/>
      <c r="B604" s="33" t="s">
        <v>764</v>
      </c>
      <c r="C604" s="34">
        <v>7661329</v>
      </c>
      <c r="D604" s="44">
        <v>1440</v>
      </c>
      <c r="E604" s="24">
        <v>51.319000000000003</v>
      </c>
      <c r="F604" s="24">
        <v>51.319000000000003</v>
      </c>
      <c r="G604" s="24"/>
      <c r="H604" s="24"/>
      <c r="I604" s="24"/>
      <c r="J604" s="24"/>
      <c r="K604" s="24"/>
      <c r="L604" s="24"/>
      <c r="M604" s="24"/>
      <c r="N604" s="24"/>
      <c r="O604" s="24"/>
      <c r="P604" s="24"/>
      <c r="Q604" s="24"/>
      <c r="R604" s="24"/>
      <c r="S604" s="24"/>
      <c r="T604" s="22"/>
      <c r="U604" s="22"/>
    </row>
    <row r="605" spans="1:21" hidden="1">
      <c r="A605" s="243"/>
      <c r="B605" s="33" t="s">
        <v>765</v>
      </c>
      <c r="C605" s="34">
        <v>7661330</v>
      </c>
      <c r="D605" s="44">
        <v>2880</v>
      </c>
      <c r="E605" s="24">
        <v>106.246</v>
      </c>
      <c r="F605" s="24">
        <v>106.246</v>
      </c>
      <c r="G605" s="24"/>
      <c r="H605" s="24"/>
      <c r="I605" s="24"/>
      <c r="J605" s="24"/>
      <c r="K605" s="24"/>
      <c r="L605" s="24"/>
      <c r="M605" s="24"/>
      <c r="N605" s="24"/>
      <c r="O605" s="24"/>
      <c r="P605" s="24"/>
      <c r="Q605" s="24"/>
      <c r="R605" s="24"/>
      <c r="S605" s="24"/>
      <c r="T605" s="22"/>
      <c r="U605" s="22"/>
    </row>
    <row r="606" spans="1:21" hidden="1">
      <c r="A606" s="243"/>
      <c r="B606" s="33" t="s">
        <v>766</v>
      </c>
      <c r="C606" s="34">
        <v>7661334</v>
      </c>
      <c r="D606" s="44">
        <v>2700</v>
      </c>
      <c r="E606" s="24">
        <v>129.941</v>
      </c>
      <c r="F606" s="24">
        <v>129.941</v>
      </c>
      <c r="G606" s="24"/>
      <c r="H606" s="24"/>
      <c r="I606" s="24"/>
      <c r="J606" s="24"/>
      <c r="K606" s="24"/>
      <c r="L606" s="24"/>
      <c r="M606" s="24"/>
      <c r="N606" s="24"/>
      <c r="O606" s="24"/>
      <c r="P606" s="24"/>
      <c r="Q606" s="24"/>
      <c r="R606" s="24"/>
      <c r="S606" s="24"/>
      <c r="T606" s="22"/>
      <c r="U606" s="22"/>
    </row>
    <row r="607" spans="1:21" hidden="1">
      <c r="A607" s="243"/>
      <c r="B607" s="33" t="s">
        <v>767</v>
      </c>
      <c r="C607" s="34">
        <v>7660840</v>
      </c>
      <c r="D607" s="44">
        <v>2250</v>
      </c>
      <c r="E607" s="24">
        <v>105.84099999999999</v>
      </c>
      <c r="F607" s="24">
        <v>105.84099999999999</v>
      </c>
      <c r="G607" s="24"/>
      <c r="H607" s="24"/>
      <c r="I607" s="24"/>
      <c r="J607" s="24"/>
      <c r="K607" s="24"/>
      <c r="L607" s="24"/>
      <c r="M607" s="24"/>
      <c r="N607" s="24"/>
      <c r="O607" s="24"/>
      <c r="P607" s="24"/>
      <c r="Q607" s="24"/>
      <c r="R607" s="24"/>
      <c r="S607" s="24"/>
      <c r="T607" s="22"/>
      <c r="U607" s="22"/>
    </row>
    <row r="608" spans="1:21" hidden="1">
      <c r="A608" s="243"/>
      <c r="B608" s="33" t="s">
        <v>768</v>
      </c>
      <c r="C608" s="34">
        <v>7661333</v>
      </c>
      <c r="D608" s="44">
        <v>4500</v>
      </c>
      <c r="E608" s="24">
        <v>172.227</v>
      </c>
      <c r="F608" s="24">
        <v>172.227</v>
      </c>
      <c r="G608" s="24"/>
      <c r="H608" s="24"/>
      <c r="I608" s="24"/>
      <c r="J608" s="24"/>
      <c r="K608" s="24"/>
      <c r="L608" s="24"/>
      <c r="M608" s="24"/>
      <c r="N608" s="24"/>
      <c r="O608" s="24"/>
      <c r="P608" s="24"/>
      <c r="Q608" s="24"/>
      <c r="R608" s="24"/>
      <c r="S608" s="24"/>
      <c r="T608" s="22"/>
      <c r="U608" s="22"/>
    </row>
    <row r="609" spans="1:21" hidden="1">
      <c r="A609" s="243"/>
      <c r="B609" s="33" t="s">
        <v>769</v>
      </c>
      <c r="C609" s="34">
        <v>7661335</v>
      </c>
      <c r="D609" s="44">
        <v>1800</v>
      </c>
      <c r="E609" s="24">
        <v>51.488999999999997</v>
      </c>
      <c r="F609" s="24">
        <v>51.488999999999997</v>
      </c>
      <c r="G609" s="24"/>
      <c r="H609" s="24"/>
      <c r="I609" s="24"/>
      <c r="J609" s="24"/>
      <c r="K609" s="24"/>
      <c r="L609" s="24"/>
      <c r="M609" s="24"/>
      <c r="N609" s="24"/>
      <c r="O609" s="24"/>
      <c r="P609" s="24"/>
      <c r="Q609" s="24"/>
      <c r="R609" s="24"/>
      <c r="S609" s="24"/>
      <c r="T609" s="22"/>
      <c r="U609" s="22"/>
    </row>
    <row r="610" spans="1:21" hidden="1">
      <c r="A610" s="243"/>
      <c r="B610" s="33" t="s">
        <v>770</v>
      </c>
      <c r="C610" s="34">
        <v>7660847</v>
      </c>
      <c r="D610" s="44">
        <v>2700</v>
      </c>
      <c r="E610" s="24">
        <v>121.56</v>
      </c>
      <c r="F610" s="24">
        <v>121.56</v>
      </c>
      <c r="G610" s="24"/>
      <c r="H610" s="24"/>
      <c r="I610" s="24"/>
      <c r="J610" s="24"/>
      <c r="K610" s="24"/>
      <c r="L610" s="24"/>
      <c r="M610" s="24"/>
      <c r="N610" s="24"/>
      <c r="O610" s="24"/>
      <c r="P610" s="24"/>
      <c r="Q610" s="24"/>
      <c r="R610" s="24"/>
      <c r="S610" s="24"/>
      <c r="T610" s="22"/>
      <c r="U610" s="22"/>
    </row>
    <row r="611" spans="1:21" hidden="1">
      <c r="A611" s="243"/>
      <c r="B611" s="33" t="s">
        <v>771</v>
      </c>
      <c r="C611" s="34">
        <v>7660839</v>
      </c>
      <c r="D611" s="44">
        <v>2700</v>
      </c>
      <c r="E611" s="24">
        <v>124.806</v>
      </c>
      <c r="F611" s="24">
        <v>124.806</v>
      </c>
      <c r="G611" s="24"/>
      <c r="H611" s="24"/>
      <c r="I611" s="24"/>
      <c r="J611" s="24"/>
      <c r="K611" s="24"/>
      <c r="L611" s="24"/>
      <c r="M611" s="24"/>
      <c r="N611" s="24"/>
      <c r="O611" s="24"/>
      <c r="P611" s="24"/>
      <c r="Q611" s="24"/>
      <c r="R611" s="24"/>
      <c r="S611" s="24"/>
      <c r="T611" s="22"/>
      <c r="U611" s="22"/>
    </row>
    <row r="612" spans="1:21" hidden="1">
      <c r="A612" s="243"/>
      <c r="B612" s="33" t="s">
        <v>772</v>
      </c>
      <c r="C612" s="34">
        <v>7660838</v>
      </c>
      <c r="D612" s="44">
        <v>1350</v>
      </c>
      <c r="E612" s="24">
        <v>51.564</v>
      </c>
      <c r="F612" s="24">
        <v>51.564</v>
      </c>
      <c r="G612" s="24"/>
      <c r="H612" s="24"/>
      <c r="I612" s="24"/>
      <c r="J612" s="24"/>
      <c r="K612" s="24"/>
      <c r="L612" s="24"/>
      <c r="M612" s="24"/>
      <c r="N612" s="24"/>
      <c r="O612" s="24"/>
      <c r="P612" s="24"/>
      <c r="Q612" s="24"/>
      <c r="R612" s="24"/>
      <c r="S612" s="24"/>
      <c r="T612" s="22"/>
      <c r="U612" s="22"/>
    </row>
    <row r="613" spans="1:21" hidden="1">
      <c r="A613" s="243"/>
      <c r="B613" s="33" t="s">
        <v>773</v>
      </c>
      <c r="C613" s="34">
        <v>7660842</v>
      </c>
      <c r="D613" s="44">
        <v>2700</v>
      </c>
      <c r="E613" s="24">
        <v>118.66500000000001</v>
      </c>
      <c r="F613" s="24">
        <v>118.66500000000001</v>
      </c>
      <c r="G613" s="24"/>
      <c r="H613" s="24"/>
      <c r="I613" s="24"/>
      <c r="J613" s="24"/>
      <c r="K613" s="24"/>
      <c r="L613" s="24"/>
      <c r="M613" s="24"/>
      <c r="N613" s="24"/>
      <c r="O613" s="24"/>
      <c r="P613" s="24"/>
      <c r="Q613" s="24"/>
      <c r="R613" s="24"/>
      <c r="S613" s="24"/>
      <c r="T613" s="22"/>
      <c r="U613" s="22"/>
    </row>
    <row r="614" spans="1:21" hidden="1">
      <c r="A614" s="243"/>
      <c r="B614" s="33" t="s">
        <v>774</v>
      </c>
      <c r="C614" s="34">
        <v>7660841</v>
      </c>
      <c r="D614" s="44">
        <v>2250</v>
      </c>
      <c r="E614" s="24">
        <v>117.188</v>
      </c>
      <c r="F614" s="24">
        <v>117.188</v>
      </c>
      <c r="G614" s="24"/>
      <c r="H614" s="24"/>
      <c r="I614" s="24"/>
      <c r="J614" s="24"/>
      <c r="K614" s="24"/>
      <c r="L614" s="24"/>
      <c r="M614" s="24"/>
      <c r="N614" s="24"/>
      <c r="O614" s="24"/>
      <c r="P614" s="24"/>
      <c r="Q614" s="24"/>
      <c r="R614" s="24"/>
      <c r="S614" s="24"/>
      <c r="T614" s="22"/>
      <c r="U614" s="22"/>
    </row>
    <row r="615" spans="1:21" hidden="1">
      <c r="A615" s="243"/>
      <c r="B615" s="33" t="s">
        <v>775</v>
      </c>
      <c r="C615" s="34">
        <v>7660837</v>
      </c>
      <c r="D615" s="44">
        <v>1800</v>
      </c>
      <c r="E615" s="24">
        <v>97.221000000000004</v>
      </c>
      <c r="F615" s="24">
        <v>97.221000000000004</v>
      </c>
      <c r="G615" s="24"/>
      <c r="H615" s="24"/>
      <c r="I615" s="24"/>
      <c r="J615" s="24"/>
      <c r="K615" s="24"/>
      <c r="L615" s="24"/>
      <c r="M615" s="24"/>
      <c r="N615" s="24"/>
      <c r="O615" s="24"/>
      <c r="P615" s="24"/>
      <c r="Q615" s="24"/>
      <c r="R615" s="24"/>
      <c r="S615" s="24"/>
      <c r="T615" s="22"/>
      <c r="U615" s="22"/>
    </row>
    <row r="616" spans="1:21" ht="22.5" hidden="1">
      <c r="A616" s="243"/>
      <c r="B616" s="33" t="s">
        <v>776</v>
      </c>
      <c r="C616" s="34">
        <v>7646943</v>
      </c>
      <c r="D616" s="22">
        <v>683</v>
      </c>
      <c r="E616" s="24">
        <v>0</v>
      </c>
      <c r="F616" s="24">
        <v>0</v>
      </c>
      <c r="G616" s="24"/>
      <c r="H616" s="24"/>
      <c r="I616" s="24"/>
      <c r="J616" s="24"/>
      <c r="K616" s="24"/>
      <c r="L616" s="24"/>
      <c r="M616" s="24"/>
      <c r="N616" s="24"/>
      <c r="O616" s="24"/>
      <c r="P616" s="24"/>
      <c r="Q616" s="24"/>
      <c r="R616" s="24"/>
      <c r="S616" s="24"/>
      <c r="T616" s="22"/>
      <c r="U616" s="22"/>
    </row>
    <row r="617" spans="1:21" ht="22.5" hidden="1">
      <c r="A617" s="243"/>
      <c r="B617" s="163" t="s">
        <v>777</v>
      </c>
      <c r="C617" s="164" t="s">
        <v>778</v>
      </c>
      <c r="D617" s="22"/>
      <c r="E617" s="24">
        <v>13.792999999999999</v>
      </c>
      <c r="F617" s="24"/>
      <c r="G617" s="24"/>
      <c r="H617" s="24"/>
      <c r="I617" s="24"/>
      <c r="J617" s="24"/>
      <c r="K617" s="24"/>
      <c r="L617" s="24"/>
      <c r="M617" s="24"/>
      <c r="N617" s="24"/>
      <c r="O617" s="24">
        <v>13.792999999999999</v>
      </c>
      <c r="P617" s="24">
        <v>13.792999999999999</v>
      </c>
      <c r="Q617" s="24"/>
      <c r="R617" s="24"/>
      <c r="S617" s="24"/>
      <c r="T617" s="22"/>
      <c r="U617" s="22"/>
    </row>
    <row r="618" spans="1:21" hidden="1">
      <c r="A618" s="243"/>
      <c r="B618" s="163" t="s">
        <v>779</v>
      </c>
      <c r="C618" s="164" t="s">
        <v>780</v>
      </c>
      <c r="D618" s="22"/>
      <c r="E618" s="24">
        <v>4.9809999999999999</v>
      </c>
      <c r="F618" s="24"/>
      <c r="G618" s="24"/>
      <c r="H618" s="24"/>
      <c r="I618" s="24"/>
      <c r="J618" s="24"/>
      <c r="K618" s="24"/>
      <c r="L618" s="24"/>
      <c r="M618" s="24"/>
      <c r="N618" s="24"/>
      <c r="O618" s="24">
        <v>4.9809999999999999</v>
      </c>
      <c r="P618" s="24"/>
      <c r="Q618" s="24"/>
      <c r="R618" s="24"/>
      <c r="S618" s="24"/>
      <c r="T618" s="22"/>
      <c r="U618" s="22"/>
    </row>
    <row r="619" spans="1:21" ht="22.5" hidden="1">
      <c r="A619" s="243"/>
      <c r="B619" s="163" t="s">
        <v>781</v>
      </c>
      <c r="C619" s="165" t="s">
        <v>782</v>
      </c>
      <c r="D619" s="22"/>
      <c r="E619" s="24">
        <v>20.007000000000001</v>
      </c>
      <c r="F619" s="24"/>
      <c r="G619" s="24"/>
      <c r="H619" s="24"/>
      <c r="I619" s="24"/>
      <c r="J619" s="24"/>
      <c r="K619" s="24"/>
      <c r="L619" s="24"/>
      <c r="M619" s="24"/>
      <c r="N619" s="24"/>
      <c r="O619" s="24">
        <v>20.007000000000001</v>
      </c>
      <c r="P619" s="24">
        <v>20.007000000000001</v>
      </c>
      <c r="Q619" s="24"/>
      <c r="R619" s="24"/>
      <c r="S619" s="24"/>
      <c r="T619" s="22"/>
      <c r="U619" s="22"/>
    </row>
    <row r="620" spans="1:21" ht="22.5" hidden="1">
      <c r="A620" s="243"/>
      <c r="B620" s="163" t="s">
        <v>783</v>
      </c>
      <c r="C620" s="164" t="s">
        <v>784</v>
      </c>
      <c r="D620" s="22"/>
      <c r="E620" s="24">
        <v>5.1100000000000003</v>
      </c>
      <c r="F620" s="24"/>
      <c r="G620" s="24"/>
      <c r="H620" s="24"/>
      <c r="I620" s="24"/>
      <c r="J620" s="24"/>
      <c r="K620" s="24"/>
      <c r="L620" s="24"/>
      <c r="M620" s="24"/>
      <c r="N620" s="24"/>
      <c r="O620" s="24">
        <v>5.1100000000000003</v>
      </c>
      <c r="P620" s="24">
        <v>5.1100000000000003</v>
      </c>
      <c r="Q620" s="24"/>
      <c r="R620" s="24"/>
      <c r="S620" s="24"/>
      <c r="T620" s="22"/>
      <c r="U620" s="22"/>
    </row>
    <row r="621" spans="1:21" ht="33.75" hidden="1">
      <c r="A621" s="243"/>
      <c r="B621" s="163" t="s">
        <v>785</v>
      </c>
      <c r="C621" s="164" t="s">
        <v>786</v>
      </c>
      <c r="D621" s="22"/>
      <c r="E621" s="24">
        <v>604.97400000000005</v>
      </c>
      <c r="F621" s="24">
        <v>604.97400000000005</v>
      </c>
      <c r="G621" s="24"/>
      <c r="H621" s="24"/>
      <c r="I621" s="24"/>
      <c r="J621" s="24"/>
      <c r="K621" s="24"/>
      <c r="L621" s="24"/>
      <c r="M621" s="24"/>
      <c r="N621" s="24"/>
      <c r="O621" s="24"/>
      <c r="P621" s="24"/>
      <c r="Q621" s="24"/>
      <c r="R621" s="24"/>
      <c r="S621" s="24"/>
      <c r="T621" s="22"/>
      <c r="U621" s="22"/>
    </row>
    <row r="622" spans="1:21" ht="22.5" hidden="1">
      <c r="A622" s="243"/>
      <c r="B622" s="166" t="s">
        <v>787</v>
      </c>
      <c r="C622" s="164" t="s">
        <v>788</v>
      </c>
      <c r="D622" s="22"/>
      <c r="E622" s="24">
        <v>197.61500000000001</v>
      </c>
      <c r="F622" s="24"/>
      <c r="G622" s="24"/>
      <c r="H622" s="24"/>
      <c r="I622" s="24"/>
      <c r="J622" s="24"/>
      <c r="K622" s="24"/>
      <c r="L622" s="24"/>
      <c r="M622" s="24"/>
      <c r="N622" s="24"/>
      <c r="O622" s="24">
        <v>197.61500000000001</v>
      </c>
      <c r="P622" s="24">
        <v>197.61500000000001</v>
      </c>
      <c r="Q622" s="24"/>
      <c r="R622" s="24"/>
      <c r="S622" s="24"/>
      <c r="T622" s="22"/>
      <c r="U622" s="22"/>
    </row>
    <row r="623" spans="1:21" ht="22.5" hidden="1">
      <c r="A623" s="243"/>
      <c r="B623" s="166" t="s">
        <v>789</v>
      </c>
      <c r="C623" s="164" t="s">
        <v>790</v>
      </c>
      <c r="D623" s="22"/>
      <c r="E623" s="24">
        <v>228.727</v>
      </c>
      <c r="F623" s="24"/>
      <c r="G623" s="24"/>
      <c r="H623" s="24"/>
      <c r="I623" s="24"/>
      <c r="J623" s="24"/>
      <c r="K623" s="24"/>
      <c r="L623" s="24"/>
      <c r="M623" s="24"/>
      <c r="N623" s="24"/>
      <c r="O623" s="24">
        <v>228.727</v>
      </c>
      <c r="P623" s="24">
        <v>228.727</v>
      </c>
      <c r="Q623" s="24"/>
      <c r="R623" s="24"/>
      <c r="S623" s="24"/>
      <c r="T623" s="22"/>
      <c r="U623" s="22"/>
    </row>
    <row r="624" spans="1:21" ht="22.5" hidden="1">
      <c r="A624" s="243"/>
      <c r="B624" s="166" t="s">
        <v>791</v>
      </c>
      <c r="C624" s="164" t="s">
        <v>792</v>
      </c>
      <c r="D624" s="22"/>
      <c r="E624" s="24">
        <v>6</v>
      </c>
      <c r="F624" s="24"/>
      <c r="G624" s="24"/>
      <c r="H624" s="24"/>
      <c r="I624" s="24"/>
      <c r="J624" s="24"/>
      <c r="K624" s="24"/>
      <c r="L624" s="24"/>
      <c r="M624" s="24"/>
      <c r="N624" s="24"/>
      <c r="O624" s="24">
        <v>6</v>
      </c>
      <c r="P624" s="24">
        <v>6</v>
      </c>
      <c r="Q624" s="24"/>
      <c r="R624" s="24"/>
      <c r="S624" s="24"/>
      <c r="T624" s="22"/>
      <c r="U624" s="22"/>
    </row>
    <row r="625" spans="1:21" ht="22.5" hidden="1">
      <c r="A625" s="243"/>
      <c r="B625" s="166" t="s">
        <v>793</v>
      </c>
      <c r="C625" s="164" t="s">
        <v>794</v>
      </c>
      <c r="D625" s="22"/>
      <c r="E625" s="24">
        <v>136.495</v>
      </c>
      <c r="F625" s="24">
        <v>136.495</v>
      </c>
      <c r="G625" s="24"/>
      <c r="H625" s="24"/>
      <c r="I625" s="24"/>
      <c r="J625" s="24"/>
      <c r="K625" s="24"/>
      <c r="L625" s="24"/>
      <c r="M625" s="24"/>
      <c r="N625" s="24"/>
      <c r="O625" s="24"/>
      <c r="P625" s="24"/>
      <c r="Q625" s="24"/>
      <c r="R625" s="24"/>
      <c r="S625" s="24"/>
      <c r="T625" s="22"/>
      <c r="U625" s="22"/>
    </row>
    <row r="626" spans="1:21" ht="22.5" hidden="1">
      <c r="A626" s="243"/>
      <c r="B626" s="163" t="s">
        <v>795</v>
      </c>
      <c r="C626" s="165" t="s">
        <v>796</v>
      </c>
      <c r="D626" s="22"/>
      <c r="E626" s="24">
        <v>1.7969999999999999</v>
      </c>
      <c r="F626" s="24"/>
      <c r="G626" s="24"/>
      <c r="H626" s="24"/>
      <c r="I626" s="24"/>
      <c r="J626" s="24"/>
      <c r="K626" s="24"/>
      <c r="L626" s="24"/>
      <c r="M626" s="24"/>
      <c r="N626" s="24"/>
      <c r="O626" s="24">
        <v>1.7969999999999999</v>
      </c>
      <c r="P626" s="24">
        <v>1.7969999999999999</v>
      </c>
      <c r="Q626" s="24"/>
      <c r="R626" s="24"/>
      <c r="S626" s="24"/>
      <c r="T626" s="22"/>
      <c r="U626" s="22"/>
    </row>
    <row r="627" spans="1:21" ht="22.5" hidden="1">
      <c r="A627" s="243"/>
      <c r="B627" s="163" t="s">
        <v>797</v>
      </c>
      <c r="C627" s="165" t="s">
        <v>798</v>
      </c>
      <c r="D627" s="22"/>
      <c r="E627" s="24">
        <v>4.6790000000000003</v>
      </c>
      <c r="F627" s="24"/>
      <c r="G627" s="24"/>
      <c r="H627" s="24"/>
      <c r="I627" s="24"/>
      <c r="J627" s="24"/>
      <c r="K627" s="24"/>
      <c r="L627" s="24"/>
      <c r="M627" s="24"/>
      <c r="N627" s="24"/>
      <c r="O627" s="24">
        <v>4.6790000000000003</v>
      </c>
      <c r="P627" s="24">
        <v>4.6790000000000003</v>
      </c>
      <c r="Q627" s="24"/>
      <c r="R627" s="24"/>
      <c r="S627" s="24"/>
      <c r="T627" s="22"/>
      <c r="U627" s="22"/>
    </row>
    <row r="628" spans="1:21" ht="22.5" hidden="1">
      <c r="A628" s="243"/>
      <c r="B628" s="166" t="s">
        <v>799</v>
      </c>
      <c r="C628" s="165" t="s">
        <v>800</v>
      </c>
      <c r="D628" s="22"/>
      <c r="E628" s="24">
        <v>694.95</v>
      </c>
      <c r="F628" s="24"/>
      <c r="G628" s="24"/>
      <c r="H628" s="24"/>
      <c r="I628" s="24"/>
      <c r="J628" s="24"/>
      <c r="K628" s="24"/>
      <c r="L628" s="24"/>
      <c r="M628" s="24"/>
      <c r="N628" s="24"/>
      <c r="O628" s="24">
        <v>694.95</v>
      </c>
      <c r="P628" s="24">
        <v>694.95</v>
      </c>
      <c r="Q628" s="24"/>
      <c r="R628" s="24"/>
      <c r="S628" s="24"/>
      <c r="T628" s="22"/>
      <c r="U628" s="22"/>
    </row>
    <row r="629" spans="1:21" ht="22.5" hidden="1">
      <c r="A629" s="243"/>
      <c r="B629" s="166" t="s">
        <v>801</v>
      </c>
      <c r="C629" s="165" t="s">
        <v>802</v>
      </c>
      <c r="D629" s="22"/>
      <c r="E629" s="24">
        <v>435.798</v>
      </c>
      <c r="F629" s="24"/>
      <c r="G629" s="24"/>
      <c r="H629" s="24"/>
      <c r="I629" s="24"/>
      <c r="J629" s="24"/>
      <c r="K629" s="24"/>
      <c r="L629" s="24"/>
      <c r="M629" s="24"/>
      <c r="N629" s="24"/>
      <c r="O629" s="24">
        <v>435.798</v>
      </c>
      <c r="P629" s="24">
        <v>435.798</v>
      </c>
      <c r="Q629" s="24"/>
      <c r="R629" s="24"/>
      <c r="S629" s="24"/>
      <c r="T629" s="22"/>
      <c r="U629" s="22"/>
    </row>
    <row r="630" spans="1:21" ht="22.5" hidden="1">
      <c r="A630" s="243"/>
      <c r="B630" s="33" t="s">
        <v>803</v>
      </c>
      <c r="C630" s="165" t="s">
        <v>804</v>
      </c>
      <c r="D630" s="22"/>
      <c r="E630" s="24">
        <v>837.803</v>
      </c>
      <c r="F630" s="24"/>
      <c r="G630" s="24"/>
      <c r="H630" s="24"/>
      <c r="I630" s="24"/>
      <c r="J630" s="24"/>
      <c r="K630" s="24"/>
      <c r="L630" s="24"/>
      <c r="M630" s="24"/>
      <c r="N630" s="24"/>
      <c r="O630" s="24">
        <v>837.803</v>
      </c>
      <c r="P630" s="24">
        <v>837.803</v>
      </c>
      <c r="Q630" s="24"/>
      <c r="R630" s="24"/>
      <c r="S630" s="24"/>
      <c r="T630" s="22"/>
      <c r="U630" s="22"/>
    </row>
    <row r="631" spans="1:21" ht="22.5" hidden="1">
      <c r="A631" s="243"/>
      <c r="B631" s="33" t="s">
        <v>805</v>
      </c>
      <c r="C631" s="165" t="s">
        <v>806</v>
      </c>
      <c r="D631" s="22"/>
      <c r="E631" s="24">
        <v>328.67399999999998</v>
      </c>
      <c r="F631" s="24"/>
      <c r="G631" s="24"/>
      <c r="H631" s="24"/>
      <c r="I631" s="24"/>
      <c r="J631" s="24"/>
      <c r="K631" s="24"/>
      <c r="L631" s="24"/>
      <c r="M631" s="24"/>
      <c r="N631" s="24"/>
      <c r="O631" s="24">
        <v>328.67399999999998</v>
      </c>
      <c r="P631" s="24">
        <v>328.67399999999998</v>
      </c>
      <c r="Q631" s="24"/>
      <c r="R631" s="24"/>
      <c r="S631" s="24"/>
      <c r="T631" s="22"/>
      <c r="U631" s="22"/>
    </row>
    <row r="632" spans="1:21" ht="22.5" hidden="1">
      <c r="A632" s="243"/>
      <c r="B632" s="33" t="s">
        <v>807</v>
      </c>
      <c r="C632" s="34">
        <v>7603420</v>
      </c>
      <c r="D632" s="22"/>
      <c r="E632" s="482">
        <v>6.7889999999999997</v>
      </c>
      <c r="F632" s="24"/>
      <c r="G632" s="24"/>
      <c r="H632" s="24"/>
      <c r="I632" s="24"/>
      <c r="J632" s="24"/>
      <c r="K632" s="24"/>
      <c r="L632" s="24"/>
      <c r="M632" s="24"/>
      <c r="N632" s="24"/>
      <c r="O632" s="482">
        <v>6.7889999999999997</v>
      </c>
      <c r="P632" s="482">
        <v>6.7889999999999997</v>
      </c>
      <c r="Q632" s="24"/>
      <c r="R632" s="24"/>
      <c r="S632" s="24"/>
      <c r="T632" s="22"/>
      <c r="U632" s="22"/>
    </row>
    <row r="633" spans="1:21" ht="22.5" hidden="1">
      <c r="A633" s="243"/>
      <c r="B633" s="33" t="s">
        <v>808</v>
      </c>
      <c r="C633" s="34">
        <v>7603444</v>
      </c>
      <c r="D633" s="22"/>
      <c r="E633" s="482">
        <v>909.51499999999999</v>
      </c>
      <c r="F633" s="24"/>
      <c r="G633" s="24"/>
      <c r="H633" s="24"/>
      <c r="I633" s="24"/>
      <c r="J633" s="24"/>
      <c r="K633" s="24"/>
      <c r="L633" s="24"/>
      <c r="M633" s="24"/>
      <c r="N633" s="24"/>
      <c r="O633" s="482">
        <v>909.51499999999999</v>
      </c>
      <c r="P633" s="482">
        <v>909.51499999999999</v>
      </c>
      <c r="Q633" s="24"/>
      <c r="R633" s="24"/>
      <c r="S633" s="24"/>
      <c r="T633" s="22"/>
      <c r="U633" s="22"/>
    </row>
    <row r="634" spans="1:21" ht="22.5" hidden="1">
      <c r="A634" s="243"/>
      <c r="B634" s="33" t="s">
        <v>809</v>
      </c>
      <c r="C634" s="34">
        <v>7603454</v>
      </c>
      <c r="D634" s="22"/>
      <c r="E634" s="482">
        <v>11.525</v>
      </c>
      <c r="F634" s="24"/>
      <c r="G634" s="24"/>
      <c r="H634" s="24"/>
      <c r="I634" s="24"/>
      <c r="J634" s="24"/>
      <c r="K634" s="24"/>
      <c r="L634" s="24"/>
      <c r="M634" s="24"/>
      <c r="N634" s="24"/>
      <c r="O634" s="482">
        <v>11.525</v>
      </c>
      <c r="P634" s="482">
        <v>11.525</v>
      </c>
      <c r="Q634" s="24"/>
      <c r="R634" s="24"/>
      <c r="S634" s="24"/>
      <c r="T634" s="22"/>
      <c r="U634" s="22"/>
    </row>
    <row r="635" spans="1:21" ht="22.5" hidden="1">
      <c r="A635" s="243"/>
      <c r="B635" s="33" t="s">
        <v>810</v>
      </c>
      <c r="C635" s="34">
        <v>7604503</v>
      </c>
      <c r="D635" s="22"/>
      <c r="E635" s="482">
        <v>2.4449999999999998</v>
      </c>
      <c r="F635" s="24"/>
      <c r="G635" s="24"/>
      <c r="H635" s="24"/>
      <c r="I635" s="24"/>
      <c r="J635" s="24"/>
      <c r="K635" s="24"/>
      <c r="L635" s="24"/>
      <c r="M635" s="24"/>
      <c r="N635" s="24"/>
      <c r="O635" s="482">
        <v>2.4449999999999998</v>
      </c>
      <c r="P635" s="482">
        <v>2.4449999999999998</v>
      </c>
      <c r="Q635" s="24"/>
      <c r="R635" s="24"/>
      <c r="S635" s="24"/>
      <c r="T635" s="22"/>
      <c r="U635" s="22"/>
    </row>
    <row r="636" spans="1:21" ht="22.5" hidden="1">
      <c r="A636" s="243"/>
      <c r="B636" s="33" t="s">
        <v>811</v>
      </c>
      <c r="C636" s="34">
        <v>7604504</v>
      </c>
      <c r="D636" s="22"/>
      <c r="E636" s="482">
        <v>12.7378</v>
      </c>
      <c r="F636" s="24"/>
      <c r="G636" s="24"/>
      <c r="H636" s="24"/>
      <c r="I636" s="24"/>
      <c r="J636" s="24"/>
      <c r="K636" s="482">
        <v>12.7378</v>
      </c>
      <c r="L636" s="24"/>
      <c r="M636" s="24"/>
      <c r="N636" s="24"/>
      <c r="O636" s="24"/>
      <c r="P636" s="24"/>
      <c r="Q636" s="24"/>
      <c r="R636" s="24"/>
      <c r="S636" s="24"/>
      <c r="T636" s="22"/>
      <c r="U636" s="22"/>
    </row>
    <row r="637" spans="1:21" hidden="1">
      <c r="A637" s="243"/>
      <c r="B637" s="33" t="s">
        <v>812</v>
      </c>
      <c r="C637" s="34">
        <v>7601718</v>
      </c>
      <c r="D637" s="22"/>
      <c r="E637" s="24">
        <v>694.95</v>
      </c>
      <c r="F637" s="24">
        <v>694.95</v>
      </c>
      <c r="G637" s="24"/>
      <c r="H637" s="24"/>
      <c r="I637" s="24"/>
      <c r="J637" s="24"/>
      <c r="K637" s="24"/>
      <c r="L637" s="24"/>
      <c r="M637" s="24"/>
      <c r="N637" s="24"/>
      <c r="O637" s="24"/>
      <c r="P637" s="24"/>
      <c r="Q637" s="24"/>
      <c r="R637" s="24"/>
      <c r="S637" s="24"/>
      <c r="T637" s="22"/>
      <c r="U637" s="22"/>
    </row>
    <row r="638" spans="1:21">
      <c r="A638" s="243">
        <v>45</v>
      </c>
      <c r="B638" s="18" t="s">
        <v>813</v>
      </c>
      <c r="C638" s="18"/>
      <c r="D638" s="19">
        <v>37479.364999999998</v>
      </c>
      <c r="E638" s="124">
        <v>23707.852999999999</v>
      </c>
      <c r="F638" s="124">
        <v>5556.4830000000002</v>
      </c>
      <c r="G638" s="124">
        <v>0</v>
      </c>
      <c r="H638" s="124">
        <v>0</v>
      </c>
      <c r="I638" s="124">
        <v>0</v>
      </c>
      <c r="J638" s="124">
        <v>0</v>
      </c>
      <c r="K638" s="124">
        <v>0</v>
      </c>
      <c r="L638" s="124">
        <v>0</v>
      </c>
      <c r="M638" s="124">
        <v>894.22400000000005</v>
      </c>
      <c r="N638" s="124">
        <v>0</v>
      </c>
      <c r="O638" s="124">
        <v>17257.146000000001</v>
      </c>
      <c r="P638" s="124">
        <v>8344.1769999999997</v>
      </c>
      <c r="Q638" s="124">
        <v>2360.71</v>
      </c>
      <c r="R638" s="124">
        <v>0</v>
      </c>
      <c r="S638" s="124">
        <v>0</v>
      </c>
      <c r="T638" s="19">
        <v>0</v>
      </c>
      <c r="U638" s="22"/>
    </row>
    <row r="639" spans="1:21" s="46" customFormat="1" hidden="1">
      <c r="A639" s="37"/>
      <c r="B639" s="38" t="s">
        <v>294</v>
      </c>
      <c r="C639" s="38"/>
      <c r="D639" s="39">
        <v>14459.365</v>
      </c>
      <c r="E639" s="61">
        <v>11043.124</v>
      </c>
      <c r="F639" s="61">
        <v>4000</v>
      </c>
      <c r="G639" s="61">
        <v>0</v>
      </c>
      <c r="H639" s="61">
        <v>0</v>
      </c>
      <c r="I639" s="61">
        <v>0</v>
      </c>
      <c r="J639" s="61">
        <v>0</v>
      </c>
      <c r="K639" s="61">
        <v>0</v>
      </c>
      <c r="L639" s="61">
        <v>0</v>
      </c>
      <c r="M639" s="61">
        <v>0</v>
      </c>
      <c r="N639" s="61">
        <v>0</v>
      </c>
      <c r="O639" s="61">
        <v>7043.1239999999998</v>
      </c>
      <c r="P639" s="61">
        <v>4264.78</v>
      </c>
      <c r="Q639" s="61">
        <v>438.10899999999998</v>
      </c>
      <c r="R639" s="61">
        <v>0</v>
      </c>
      <c r="S639" s="61">
        <v>0</v>
      </c>
      <c r="T639" s="39">
        <v>0</v>
      </c>
      <c r="U639" s="39"/>
    </row>
    <row r="640" spans="1:21" hidden="1">
      <c r="A640" s="243"/>
      <c r="B640" s="120" t="s">
        <v>814</v>
      </c>
      <c r="C640" s="122">
        <v>7573002</v>
      </c>
      <c r="D640" s="44">
        <v>2700</v>
      </c>
      <c r="E640" s="482">
        <v>2300</v>
      </c>
      <c r="F640" s="24">
        <v>2300</v>
      </c>
      <c r="G640" s="24"/>
      <c r="H640" s="24"/>
      <c r="I640" s="24"/>
      <c r="J640" s="24"/>
      <c r="K640" s="24"/>
      <c r="L640" s="24"/>
      <c r="M640" s="24"/>
      <c r="N640" s="24"/>
      <c r="O640" s="24"/>
      <c r="P640" s="24"/>
      <c r="Q640" s="24"/>
      <c r="R640" s="24"/>
      <c r="S640" s="24"/>
      <c r="T640" s="22"/>
      <c r="U640" s="22"/>
    </row>
    <row r="641" spans="1:21" hidden="1">
      <c r="A641" s="243"/>
      <c r="B641" s="120" t="s">
        <v>815</v>
      </c>
      <c r="C641" s="122">
        <v>7614295</v>
      </c>
      <c r="D641" s="44">
        <v>600</v>
      </c>
      <c r="E641" s="482">
        <v>600</v>
      </c>
      <c r="F641" s="24">
        <v>600</v>
      </c>
      <c r="G641" s="24"/>
      <c r="H641" s="24"/>
      <c r="I641" s="24"/>
      <c r="J641" s="24"/>
      <c r="K641" s="24"/>
      <c r="L641" s="24"/>
      <c r="M641" s="24"/>
      <c r="N641" s="24"/>
      <c r="O641" s="24"/>
      <c r="P641" s="24"/>
      <c r="Q641" s="24"/>
      <c r="R641" s="24"/>
      <c r="S641" s="24"/>
      <c r="T641" s="22"/>
      <c r="U641" s="22"/>
    </row>
    <row r="642" spans="1:21" hidden="1">
      <c r="A642" s="243"/>
      <c r="B642" s="120" t="s">
        <v>816</v>
      </c>
      <c r="C642" s="122">
        <v>7614296</v>
      </c>
      <c r="D642" s="44">
        <v>600</v>
      </c>
      <c r="E642" s="482">
        <v>500</v>
      </c>
      <c r="F642" s="24">
        <v>500</v>
      </c>
      <c r="G642" s="24"/>
      <c r="H642" s="24"/>
      <c r="I642" s="24"/>
      <c r="J642" s="24"/>
      <c r="K642" s="24"/>
      <c r="L642" s="24"/>
      <c r="M642" s="24"/>
      <c r="N642" s="24"/>
      <c r="O642" s="24"/>
      <c r="P642" s="24"/>
      <c r="Q642" s="24"/>
      <c r="R642" s="24"/>
      <c r="S642" s="24"/>
      <c r="T642" s="22"/>
      <c r="U642" s="22"/>
    </row>
    <row r="643" spans="1:21" hidden="1">
      <c r="A643" s="243"/>
      <c r="B643" s="120" t="s">
        <v>817</v>
      </c>
      <c r="C643" s="122">
        <v>7617337</v>
      </c>
      <c r="D643" s="44">
        <v>600</v>
      </c>
      <c r="E643" s="482">
        <v>600</v>
      </c>
      <c r="F643" s="24">
        <v>600</v>
      </c>
      <c r="G643" s="24"/>
      <c r="H643" s="24"/>
      <c r="I643" s="24"/>
      <c r="J643" s="24"/>
      <c r="K643" s="24"/>
      <c r="L643" s="24"/>
      <c r="M643" s="24"/>
      <c r="N643" s="24"/>
      <c r="O643" s="24"/>
      <c r="P643" s="24"/>
      <c r="Q643" s="24"/>
      <c r="R643" s="24"/>
      <c r="S643" s="24"/>
      <c r="T643" s="22"/>
      <c r="U643" s="22"/>
    </row>
    <row r="644" spans="1:21" ht="22.5" hidden="1">
      <c r="A644" s="243"/>
      <c r="B644" s="45" t="s">
        <v>818</v>
      </c>
      <c r="C644" s="43">
        <v>7189117</v>
      </c>
      <c r="D644" s="22">
        <v>420</v>
      </c>
      <c r="E644" s="24">
        <v>420</v>
      </c>
      <c r="F644" s="24"/>
      <c r="G644" s="24"/>
      <c r="H644" s="24"/>
      <c r="I644" s="24"/>
      <c r="J644" s="24"/>
      <c r="K644" s="24"/>
      <c r="L644" s="24"/>
      <c r="M644" s="24"/>
      <c r="N644" s="24"/>
      <c r="O644" s="24">
        <v>420</v>
      </c>
      <c r="P644" s="24"/>
      <c r="Q644" s="24"/>
      <c r="R644" s="24"/>
      <c r="S644" s="24"/>
      <c r="T644" s="22"/>
      <c r="U644" s="22"/>
    </row>
    <row r="645" spans="1:21" ht="33.75" hidden="1">
      <c r="A645" s="243"/>
      <c r="B645" s="63" t="s">
        <v>819</v>
      </c>
      <c r="C645" s="34">
        <v>7268406</v>
      </c>
      <c r="D645" s="44">
        <v>39.365000000000002</v>
      </c>
      <c r="E645" s="482">
        <v>39.365000000000002</v>
      </c>
      <c r="F645" s="24"/>
      <c r="G645" s="24"/>
      <c r="H645" s="24"/>
      <c r="I645" s="24"/>
      <c r="J645" s="24"/>
      <c r="K645" s="24"/>
      <c r="L645" s="24"/>
      <c r="M645" s="24"/>
      <c r="N645" s="24"/>
      <c r="O645" s="482">
        <v>39.365000000000002</v>
      </c>
      <c r="P645" s="482">
        <v>39.365000000000002</v>
      </c>
      <c r="Q645" s="24"/>
      <c r="R645" s="24"/>
      <c r="S645" s="24"/>
      <c r="T645" s="22"/>
      <c r="U645" s="22"/>
    </row>
    <row r="646" spans="1:21" ht="45" hidden="1">
      <c r="A646" s="243"/>
      <c r="B646" s="49" t="s">
        <v>820</v>
      </c>
      <c r="C646" s="105" t="s">
        <v>821</v>
      </c>
      <c r="D646" s="22">
        <v>3500</v>
      </c>
      <c r="E646" s="482">
        <v>38.109000000000002</v>
      </c>
      <c r="F646" s="24"/>
      <c r="G646" s="24"/>
      <c r="H646" s="24"/>
      <c r="I646" s="24"/>
      <c r="J646" s="24"/>
      <c r="K646" s="24"/>
      <c r="L646" s="24"/>
      <c r="M646" s="24"/>
      <c r="N646" s="24"/>
      <c r="O646" s="482">
        <v>38.109000000000002</v>
      </c>
      <c r="P646" s="24"/>
      <c r="Q646" s="482">
        <v>38.109000000000002</v>
      </c>
      <c r="R646" s="24"/>
      <c r="S646" s="24"/>
      <c r="T646" s="22"/>
      <c r="U646" s="22"/>
    </row>
    <row r="647" spans="1:21" hidden="1">
      <c r="A647" s="243"/>
      <c r="B647" s="49" t="s">
        <v>822</v>
      </c>
      <c r="C647" s="88">
        <v>7427941</v>
      </c>
      <c r="D647" s="22">
        <v>2100</v>
      </c>
      <c r="E647" s="24">
        <v>1873.15</v>
      </c>
      <c r="F647" s="24"/>
      <c r="G647" s="24"/>
      <c r="H647" s="24"/>
      <c r="I647" s="24"/>
      <c r="J647" s="24"/>
      <c r="K647" s="24"/>
      <c r="L647" s="24"/>
      <c r="M647" s="24"/>
      <c r="N647" s="24"/>
      <c r="O647" s="24">
        <v>1873.15</v>
      </c>
      <c r="P647" s="24"/>
      <c r="Q647" s="24"/>
      <c r="R647" s="24"/>
      <c r="S647" s="24"/>
      <c r="T647" s="22"/>
      <c r="U647" s="22"/>
    </row>
    <row r="648" spans="1:21" ht="22.5" hidden="1">
      <c r="A648" s="243"/>
      <c r="B648" s="49" t="s">
        <v>823</v>
      </c>
      <c r="C648" s="88">
        <v>7374096</v>
      </c>
      <c r="D648" s="44">
        <v>3000</v>
      </c>
      <c r="E648" s="24">
        <v>2983.7719999999999</v>
      </c>
      <c r="F648" s="24"/>
      <c r="G648" s="24"/>
      <c r="H648" s="24"/>
      <c r="I648" s="24"/>
      <c r="J648" s="24"/>
      <c r="K648" s="24"/>
      <c r="L648" s="24"/>
      <c r="M648" s="24"/>
      <c r="N648" s="24"/>
      <c r="O648" s="24">
        <v>2983.7719999999999</v>
      </c>
      <c r="P648" s="24">
        <v>2983.7719999999999</v>
      </c>
      <c r="Q648" s="24"/>
      <c r="R648" s="24"/>
      <c r="S648" s="24"/>
      <c r="T648" s="22"/>
      <c r="U648" s="22"/>
    </row>
    <row r="649" spans="1:21" ht="33.75" hidden="1">
      <c r="A649" s="243"/>
      <c r="B649" s="49" t="s">
        <v>824</v>
      </c>
      <c r="C649" s="105" t="s">
        <v>825</v>
      </c>
      <c r="D649" s="44">
        <v>900</v>
      </c>
      <c r="E649" s="24">
        <v>867.86400000000003</v>
      </c>
      <c r="F649" s="24"/>
      <c r="G649" s="24"/>
      <c r="H649" s="24"/>
      <c r="I649" s="24"/>
      <c r="J649" s="24"/>
      <c r="K649" s="24"/>
      <c r="L649" s="24"/>
      <c r="M649" s="24"/>
      <c r="N649" s="24"/>
      <c r="O649" s="24">
        <v>867.86400000000003</v>
      </c>
      <c r="P649" s="24">
        <v>867.86400000000003</v>
      </c>
      <c r="Q649" s="24"/>
      <c r="R649" s="24"/>
      <c r="S649" s="24"/>
      <c r="T649" s="22"/>
      <c r="U649" s="22"/>
    </row>
    <row r="650" spans="1:21" ht="22.5" hidden="1">
      <c r="A650" s="243"/>
      <c r="B650" s="33" t="s">
        <v>826</v>
      </c>
      <c r="C650" s="34">
        <v>7313163</v>
      </c>
      <c r="D650" s="22"/>
      <c r="E650" s="24">
        <v>47.085000000000001</v>
      </c>
      <c r="F650" s="24"/>
      <c r="G650" s="24"/>
      <c r="H650" s="24"/>
      <c r="I650" s="24"/>
      <c r="J650" s="24"/>
      <c r="K650" s="24"/>
      <c r="L650" s="24"/>
      <c r="M650" s="24"/>
      <c r="N650" s="24"/>
      <c r="O650" s="24">
        <v>47.085000000000001</v>
      </c>
      <c r="P650" s="24"/>
      <c r="Q650" s="24"/>
      <c r="R650" s="24"/>
      <c r="S650" s="24"/>
      <c r="T650" s="22"/>
      <c r="U650" s="22"/>
    </row>
    <row r="651" spans="1:21" ht="22.5" hidden="1">
      <c r="A651" s="243"/>
      <c r="B651" s="33" t="s">
        <v>827</v>
      </c>
      <c r="C651" s="34">
        <v>7427420</v>
      </c>
      <c r="D651" s="22"/>
      <c r="E651" s="24">
        <v>373.779</v>
      </c>
      <c r="F651" s="24"/>
      <c r="G651" s="24"/>
      <c r="H651" s="24"/>
      <c r="I651" s="24"/>
      <c r="J651" s="24"/>
      <c r="K651" s="24"/>
      <c r="L651" s="24"/>
      <c r="M651" s="24"/>
      <c r="N651" s="24"/>
      <c r="O651" s="24">
        <v>373.779</v>
      </c>
      <c r="P651" s="24">
        <v>373.779</v>
      </c>
      <c r="Q651" s="24"/>
      <c r="R651" s="24"/>
      <c r="S651" s="24"/>
      <c r="T651" s="22"/>
      <c r="U651" s="22"/>
    </row>
    <row r="652" spans="1:21" ht="22.5" hidden="1">
      <c r="A652" s="243"/>
      <c r="B652" s="33" t="s">
        <v>828</v>
      </c>
      <c r="C652" s="34">
        <v>7578268</v>
      </c>
      <c r="D652" s="22"/>
      <c r="E652" s="24">
        <v>400</v>
      </c>
      <c r="F652" s="24"/>
      <c r="G652" s="24"/>
      <c r="H652" s="24"/>
      <c r="I652" s="24"/>
      <c r="J652" s="24"/>
      <c r="K652" s="24"/>
      <c r="L652" s="24"/>
      <c r="M652" s="24"/>
      <c r="N652" s="24"/>
      <c r="O652" s="24">
        <v>400</v>
      </c>
      <c r="P652" s="24"/>
      <c r="Q652" s="24">
        <v>400</v>
      </c>
      <c r="R652" s="24"/>
      <c r="S652" s="24"/>
      <c r="T652" s="22"/>
      <c r="U652" s="22"/>
    </row>
    <row r="653" spans="1:21" s="41" customFormat="1" hidden="1">
      <c r="A653" s="37"/>
      <c r="B653" s="38" t="s">
        <v>281</v>
      </c>
      <c r="C653" s="38"/>
      <c r="D653" s="39">
        <v>1200</v>
      </c>
      <c r="E653" s="61">
        <v>1927.0509999999999</v>
      </c>
      <c r="F653" s="61">
        <v>1032.827</v>
      </c>
      <c r="G653" s="61">
        <v>0</v>
      </c>
      <c r="H653" s="61">
        <v>0</v>
      </c>
      <c r="I653" s="61">
        <v>0</v>
      </c>
      <c r="J653" s="61">
        <v>0</v>
      </c>
      <c r="K653" s="61">
        <v>0</v>
      </c>
      <c r="L653" s="61">
        <v>0</v>
      </c>
      <c r="M653" s="61">
        <v>894.22400000000005</v>
      </c>
      <c r="N653" s="61">
        <v>0</v>
      </c>
      <c r="O653" s="61">
        <v>0</v>
      </c>
      <c r="P653" s="61">
        <v>0</v>
      </c>
      <c r="Q653" s="61">
        <v>0</v>
      </c>
      <c r="R653" s="61">
        <v>0</v>
      </c>
      <c r="S653" s="61">
        <v>0</v>
      </c>
      <c r="T653" s="39">
        <v>0</v>
      </c>
      <c r="U653" s="93"/>
    </row>
    <row r="654" spans="1:21" hidden="1">
      <c r="A654" s="243"/>
      <c r="B654" s="33" t="s">
        <v>815</v>
      </c>
      <c r="C654" s="34">
        <v>7614295</v>
      </c>
      <c r="D654" s="16">
        <v>400</v>
      </c>
      <c r="E654" s="24">
        <v>272.827</v>
      </c>
      <c r="F654" s="24">
        <v>272.827</v>
      </c>
      <c r="G654" s="24"/>
      <c r="H654" s="24"/>
      <c r="I654" s="24"/>
      <c r="J654" s="24"/>
      <c r="K654" s="24"/>
      <c r="L654" s="24"/>
      <c r="M654" s="24"/>
      <c r="N654" s="24"/>
      <c r="O654" s="24"/>
      <c r="P654" s="24"/>
      <c r="Q654" s="24"/>
      <c r="R654" s="24"/>
      <c r="S654" s="24"/>
      <c r="T654" s="22"/>
      <c r="U654" s="22"/>
    </row>
    <row r="655" spans="1:21" hidden="1">
      <c r="A655" s="243"/>
      <c r="B655" s="33" t="s">
        <v>816</v>
      </c>
      <c r="C655" s="34">
        <v>7614296</v>
      </c>
      <c r="D655" s="16">
        <v>400</v>
      </c>
      <c r="E655" s="24">
        <v>360</v>
      </c>
      <c r="F655" s="24">
        <v>360</v>
      </c>
      <c r="G655" s="24"/>
      <c r="H655" s="24"/>
      <c r="I655" s="24"/>
      <c r="J655" s="24"/>
      <c r="K655" s="24"/>
      <c r="L655" s="24"/>
      <c r="M655" s="24"/>
      <c r="N655" s="24"/>
      <c r="O655" s="24"/>
      <c r="P655" s="24"/>
      <c r="Q655" s="24"/>
      <c r="R655" s="24"/>
      <c r="S655" s="24"/>
      <c r="T655" s="22"/>
      <c r="U655" s="22"/>
    </row>
    <row r="656" spans="1:21" hidden="1">
      <c r="A656" s="243"/>
      <c r="B656" s="33" t="s">
        <v>817</v>
      </c>
      <c r="C656" s="34">
        <v>7617337</v>
      </c>
      <c r="D656" s="16">
        <v>400</v>
      </c>
      <c r="E656" s="24">
        <v>400</v>
      </c>
      <c r="F656" s="24">
        <v>400</v>
      </c>
      <c r="G656" s="24"/>
      <c r="H656" s="24"/>
      <c r="I656" s="24"/>
      <c r="J656" s="24"/>
      <c r="K656" s="24"/>
      <c r="L656" s="24"/>
      <c r="M656" s="24"/>
      <c r="N656" s="24"/>
      <c r="O656" s="24"/>
      <c r="P656" s="24"/>
      <c r="Q656" s="24"/>
      <c r="R656" s="24"/>
      <c r="S656" s="24"/>
      <c r="T656" s="22"/>
      <c r="U656" s="22"/>
    </row>
    <row r="657" spans="1:22" ht="33.75" hidden="1" customHeight="1">
      <c r="A657" s="243"/>
      <c r="B657" s="33" t="s">
        <v>829</v>
      </c>
      <c r="C657" s="34">
        <v>7619405</v>
      </c>
      <c r="D657" s="22"/>
      <c r="E657" s="24">
        <v>894.22400000000005</v>
      </c>
      <c r="F657" s="24"/>
      <c r="G657" s="24"/>
      <c r="H657" s="24"/>
      <c r="I657" s="24"/>
      <c r="J657" s="24"/>
      <c r="K657" s="24"/>
      <c r="L657" s="24"/>
      <c r="M657" s="24">
        <v>894.22400000000005</v>
      </c>
      <c r="N657" s="24"/>
      <c r="O657" s="24"/>
      <c r="P657" s="24"/>
      <c r="Q657" s="24"/>
      <c r="R657" s="24"/>
      <c r="S657" s="24"/>
      <c r="T657" s="22"/>
      <c r="U657" s="22"/>
      <c r="V657" s="477"/>
    </row>
    <row r="658" spans="1:22" s="41" customFormat="1" ht="22.5" hidden="1">
      <c r="A658" s="37"/>
      <c r="B658" s="38" t="s">
        <v>707</v>
      </c>
      <c r="C658" s="38"/>
      <c r="D658" s="39">
        <v>0</v>
      </c>
      <c r="E658" s="61">
        <v>91.125999999999991</v>
      </c>
      <c r="F658" s="61">
        <v>0</v>
      </c>
      <c r="G658" s="61">
        <v>0</v>
      </c>
      <c r="H658" s="61">
        <v>0</v>
      </c>
      <c r="I658" s="61">
        <v>0</v>
      </c>
      <c r="J658" s="61">
        <v>0</v>
      </c>
      <c r="K658" s="61">
        <v>0</v>
      </c>
      <c r="L658" s="61">
        <v>0</v>
      </c>
      <c r="M658" s="61">
        <v>0</v>
      </c>
      <c r="N658" s="61">
        <v>0</v>
      </c>
      <c r="O658" s="61">
        <v>91.125999999999991</v>
      </c>
      <c r="P658" s="61">
        <v>91.125999999999991</v>
      </c>
      <c r="Q658" s="61">
        <v>0</v>
      </c>
      <c r="R658" s="61">
        <v>0</v>
      </c>
      <c r="S658" s="61">
        <v>0</v>
      </c>
      <c r="T658" s="39">
        <v>0</v>
      </c>
      <c r="U658" s="93"/>
    </row>
    <row r="659" spans="1:22" ht="22.5" hidden="1">
      <c r="A659" s="20"/>
      <c r="B659" s="33" t="s">
        <v>830</v>
      </c>
      <c r="C659" s="34">
        <v>7505061</v>
      </c>
      <c r="D659" s="22"/>
      <c r="E659" s="24">
        <v>16.202000000000002</v>
      </c>
      <c r="F659" s="24"/>
      <c r="G659" s="24"/>
      <c r="H659" s="24"/>
      <c r="I659" s="24"/>
      <c r="J659" s="24"/>
      <c r="K659" s="24"/>
      <c r="L659" s="24"/>
      <c r="M659" s="24"/>
      <c r="N659" s="24"/>
      <c r="O659" s="24">
        <v>16.202000000000002</v>
      </c>
      <c r="P659" s="24">
        <v>16.202000000000002</v>
      </c>
      <c r="Q659" s="24"/>
      <c r="R659" s="24"/>
      <c r="S659" s="24"/>
      <c r="T659" s="22"/>
      <c r="U659" s="22"/>
    </row>
    <row r="660" spans="1:22" ht="22.5" hidden="1">
      <c r="A660" s="20"/>
      <c r="B660" s="33" t="s">
        <v>831</v>
      </c>
      <c r="C660" s="34">
        <v>7583983</v>
      </c>
      <c r="D660" s="22"/>
      <c r="E660" s="24">
        <v>1.52</v>
      </c>
      <c r="F660" s="24"/>
      <c r="G660" s="24"/>
      <c r="H660" s="24"/>
      <c r="I660" s="24"/>
      <c r="J660" s="24"/>
      <c r="K660" s="24"/>
      <c r="L660" s="24"/>
      <c r="M660" s="24"/>
      <c r="N660" s="24"/>
      <c r="O660" s="24">
        <v>1.52</v>
      </c>
      <c r="P660" s="24">
        <v>1.52</v>
      </c>
      <c r="Q660" s="24"/>
      <c r="R660" s="24"/>
      <c r="S660" s="24"/>
      <c r="T660" s="22"/>
      <c r="U660" s="22"/>
    </row>
    <row r="661" spans="1:22" hidden="1">
      <c r="A661" s="20"/>
      <c r="B661" s="33" t="s">
        <v>832</v>
      </c>
      <c r="C661" s="34">
        <v>7573632</v>
      </c>
      <c r="D661" s="22"/>
      <c r="E661" s="24">
        <v>7.601</v>
      </c>
      <c r="F661" s="24"/>
      <c r="G661" s="24"/>
      <c r="H661" s="24"/>
      <c r="I661" s="24"/>
      <c r="J661" s="24"/>
      <c r="K661" s="24"/>
      <c r="L661" s="24"/>
      <c r="M661" s="24"/>
      <c r="N661" s="24"/>
      <c r="O661" s="24">
        <v>7.601</v>
      </c>
      <c r="P661" s="24">
        <v>7.601</v>
      </c>
      <c r="Q661" s="24"/>
      <c r="R661" s="24"/>
      <c r="S661" s="24"/>
      <c r="T661" s="22"/>
      <c r="U661" s="22"/>
    </row>
    <row r="662" spans="1:22" hidden="1">
      <c r="A662" s="20"/>
      <c r="B662" s="33" t="s">
        <v>833</v>
      </c>
      <c r="C662" s="34">
        <v>7592756</v>
      </c>
      <c r="D662" s="22"/>
      <c r="E662" s="24">
        <v>7.9770000000000003</v>
      </c>
      <c r="F662" s="24"/>
      <c r="G662" s="24"/>
      <c r="H662" s="24"/>
      <c r="I662" s="24"/>
      <c r="J662" s="24"/>
      <c r="K662" s="24"/>
      <c r="L662" s="24"/>
      <c r="M662" s="24"/>
      <c r="N662" s="24"/>
      <c r="O662" s="24">
        <v>7.9770000000000003</v>
      </c>
      <c r="P662" s="24">
        <v>7.9770000000000003</v>
      </c>
      <c r="Q662" s="24"/>
      <c r="R662" s="24"/>
      <c r="S662" s="24"/>
      <c r="T662" s="22"/>
      <c r="U662" s="22"/>
    </row>
    <row r="663" spans="1:22" ht="22.5" hidden="1">
      <c r="A663" s="20"/>
      <c r="B663" s="33" t="s">
        <v>834</v>
      </c>
      <c r="C663" s="34">
        <v>7571637</v>
      </c>
      <c r="D663" s="22"/>
      <c r="E663" s="24">
        <v>3.8</v>
      </c>
      <c r="F663" s="24"/>
      <c r="G663" s="24"/>
      <c r="H663" s="24"/>
      <c r="I663" s="24"/>
      <c r="J663" s="24"/>
      <c r="K663" s="24"/>
      <c r="L663" s="24"/>
      <c r="M663" s="24"/>
      <c r="N663" s="24"/>
      <c r="O663" s="24">
        <v>3.8</v>
      </c>
      <c r="P663" s="24">
        <v>3.8</v>
      </c>
      <c r="Q663" s="24"/>
      <c r="R663" s="24"/>
      <c r="S663" s="24"/>
      <c r="T663" s="22"/>
      <c r="U663" s="22"/>
    </row>
    <row r="664" spans="1:22" ht="22.5" hidden="1">
      <c r="A664" s="20"/>
      <c r="B664" s="33" t="s">
        <v>835</v>
      </c>
      <c r="C664" s="34">
        <v>7571639</v>
      </c>
      <c r="D664" s="22"/>
      <c r="E664" s="24">
        <v>3.173</v>
      </c>
      <c r="F664" s="24"/>
      <c r="G664" s="24"/>
      <c r="H664" s="24"/>
      <c r="I664" s="24"/>
      <c r="J664" s="24"/>
      <c r="K664" s="24"/>
      <c r="L664" s="24"/>
      <c r="M664" s="24"/>
      <c r="N664" s="24"/>
      <c r="O664" s="24">
        <v>3.173</v>
      </c>
      <c r="P664" s="24">
        <v>3.173</v>
      </c>
      <c r="Q664" s="24"/>
      <c r="R664" s="24"/>
      <c r="S664" s="24"/>
      <c r="T664" s="22"/>
      <c r="U664" s="22"/>
    </row>
    <row r="665" spans="1:22" ht="33.75" hidden="1">
      <c r="A665" s="20"/>
      <c r="B665" s="33" t="s">
        <v>836</v>
      </c>
      <c r="C665" s="34">
        <v>7581318</v>
      </c>
      <c r="D665" s="22"/>
      <c r="E665" s="24">
        <v>22.779</v>
      </c>
      <c r="F665" s="24"/>
      <c r="G665" s="24"/>
      <c r="H665" s="24"/>
      <c r="I665" s="24"/>
      <c r="J665" s="24"/>
      <c r="K665" s="24"/>
      <c r="L665" s="24"/>
      <c r="M665" s="24"/>
      <c r="N665" s="24"/>
      <c r="O665" s="24">
        <v>22.779</v>
      </c>
      <c r="P665" s="24">
        <v>22.779</v>
      </c>
      <c r="Q665" s="24"/>
      <c r="R665" s="24"/>
      <c r="S665" s="24"/>
      <c r="T665" s="22"/>
      <c r="U665" s="22"/>
    </row>
    <row r="666" spans="1:22" ht="33.75" hidden="1">
      <c r="A666" s="20"/>
      <c r="B666" s="33" t="s">
        <v>837</v>
      </c>
      <c r="C666" s="34">
        <v>7581314</v>
      </c>
      <c r="D666" s="22"/>
      <c r="E666" s="24">
        <v>24.873000000000001</v>
      </c>
      <c r="F666" s="24"/>
      <c r="G666" s="24"/>
      <c r="H666" s="24"/>
      <c r="I666" s="24"/>
      <c r="J666" s="24"/>
      <c r="K666" s="24"/>
      <c r="L666" s="24"/>
      <c r="M666" s="24"/>
      <c r="N666" s="24"/>
      <c r="O666" s="24">
        <v>24.873000000000001</v>
      </c>
      <c r="P666" s="24">
        <v>24.873000000000001</v>
      </c>
      <c r="Q666" s="24"/>
      <c r="R666" s="24"/>
      <c r="S666" s="24"/>
      <c r="T666" s="22"/>
      <c r="U666" s="22"/>
    </row>
    <row r="667" spans="1:22" ht="22.5" hidden="1">
      <c r="A667" s="20"/>
      <c r="B667" s="33" t="s">
        <v>838</v>
      </c>
      <c r="C667" s="34">
        <v>7566285</v>
      </c>
      <c r="D667" s="22"/>
      <c r="E667" s="24">
        <v>3.2010000000000001</v>
      </c>
      <c r="F667" s="24"/>
      <c r="G667" s="24"/>
      <c r="H667" s="24"/>
      <c r="I667" s="24"/>
      <c r="J667" s="24"/>
      <c r="K667" s="24"/>
      <c r="L667" s="24"/>
      <c r="M667" s="24"/>
      <c r="N667" s="24"/>
      <c r="O667" s="24">
        <v>3.2010000000000001</v>
      </c>
      <c r="P667" s="24">
        <v>3.2010000000000001</v>
      </c>
      <c r="Q667" s="24"/>
      <c r="R667" s="24"/>
      <c r="S667" s="24"/>
      <c r="T667" s="22"/>
      <c r="U667" s="22"/>
    </row>
    <row r="668" spans="1:22" s="46" customFormat="1" hidden="1">
      <c r="A668" s="37"/>
      <c r="B668" s="167" t="s">
        <v>289</v>
      </c>
      <c r="C668" s="58"/>
      <c r="D668" s="39">
        <v>0</v>
      </c>
      <c r="E668" s="61">
        <v>1793.3209999999999</v>
      </c>
      <c r="F668" s="61">
        <v>0</v>
      </c>
      <c r="G668" s="61">
        <v>0</v>
      </c>
      <c r="H668" s="61">
        <v>0</v>
      </c>
      <c r="I668" s="61">
        <v>0</v>
      </c>
      <c r="J668" s="61">
        <v>0</v>
      </c>
      <c r="K668" s="61">
        <v>0</v>
      </c>
      <c r="L668" s="61">
        <v>0</v>
      </c>
      <c r="M668" s="61">
        <v>0</v>
      </c>
      <c r="N668" s="61">
        <v>0</v>
      </c>
      <c r="O668" s="61">
        <v>1793.3209999999999</v>
      </c>
      <c r="P668" s="61">
        <v>1793.3209999999999</v>
      </c>
      <c r="Q668" s="61">
        <v>0</v>
      </c>
      <c r="R668" s="61">
        <v>0</v>
      </c>
      <c r="S668" s="61">
        <v>0</v>
      </c>
      <c r="T668" s="39">
        <v>0</v>
      </c>
      <c r="U668" s="39"/>
    </row>
    <row r="669" spans="1:22" ht="33.75" hidden="1">
      <c r="A669" s="20"/>
      <c r="B669" s="33" t="s">
        <v>839</v>
      </c>
      <c r="C669" s="34">
        <v>7596225</v>
      </c>
      <c r="D669" s="22"/>
      <c r="E669" s="24">
        <v>1793.3209999999999</v>
      </c>
      <c r="F669" s="24"/>
      <c r="G669" s="24"/>
      <c r="H669" s="24"/>
      <c r="I669" s="24"/>
      <c r="J669" s="24"/>
      <c r="K669" s="24"/>
      <c r="L669" s="24"/>
      <c r="M669" s="24"/>
      <c r="N669" s="24"/>
      <c r="O669" s="24">
        <v>1793.3209999999999</v>
      </c>
      <c r="P669" s="24">
        <v>1793.3209999999999</v>
      </c>
      <c r="Q669" s="24"/>
      <c r="R669" s="24"/>
      <c r="S669" s="24"/>
      <c r="T669" s="22"/>
      <c r="U669" s="22"/>
    </row>
    <row r="670" spans="1:22" s="46" customFormat="1" hidden="1">
      <c r="A670" s="37"/>
      <c r="B670" s="38" t="s">
        <v>283</v>
      </c>
      <c r="C670" s="38"/>
      <c r="D670" s="39">
        <v>8500</v>
      </c>
      <c r="E670" s="61">
        <v>8096.7560000000003</v>
      </c>
      <c r="F670" s="61">
        <v>0</v>
      </c>
      <c r="G670" s="61">
        <v>0</v>
      </c>
      <c r="H670" s="61">
        <v>0</v>
      </c>
      <c r="I670" s="61">
        <v>0</v>
      </c>
      <c r="J670" s="61">
        <v>0</v>
      </c>
      <c r="K670" s="61">
        <v>0</v>
      </c>
      <c r="L670" s="61">
        <v>0</v>
      </c>
      <c r="M670" s="61">
        <v>0</v>
      </c>
      <c r="N670" s="61">
        <v>0</v>
      </c>
      <c r="O670" s="61">
        <v>8096.7560000000003</v>
      </c>
      <c r="P670" s="61">
        <v>2000</v>
      </c>
      <c r="Q670" s="61">
        <v>1884.732</v>
      </c>
      <c r="R670" s="61">
        <v>0</v>
      </c>
      <c r="S670" s="61">
        <v>0</v>
      </c>
      <c r="T670" s="39">
        <v>0</v>
      </c>
      <c r="U670" s="39"/>
    </row>
    <row r="671" spans="1:22" ht="22.5" hidden="1">
      <c r="A671" s="20"/>
      <c r="B671" s="82" t="s">
        <v>840</v>
      </c>
      <c r="C671" s="47">
        <v>7486894</v>
      </c>
      <c r="D671" s="44">
        <v>3500</v>
      </c>
      <c r="E671" s="24">
        <v>4212.0240000000003</v>
      </c>
      <c r="F671" s="24"/>
      <c r="G671" s="24"/>
      <c r="H671" s="24"/>
      <c r="I671" s="24"/>
      <c r="J671" s="24"/>
      <c r="K671" s="24"/>
      <c r="L671" s="24"/>
      <c r="M671" s="24"/>
      <c r="N671" s="24"/>
      <c r="O671" s="24">
        <v>4212.0240000000003</v>
      </c>
      <c r="P671" s="24"/>
      <c r="Q671" s="24"/>
      <c r="R671" s="24"/>
      <c r="S671" s="24"/>
      <c r="T671" s="22"/>
      <c r="U671" s="22"/>
    </row>
    <row r="672" spans="1:22" ht="22.5" hidden="1">
      <c r="A672" s="243"/>
      <c r="B672" s="82" t="s">
        <v>841</v>
      </c>
      <c r="C672" s="47">
        <v>7482100</v>
      </c>
      <c r="D672" s="44">
        <v>2000</v>
      </c>
      <c r="E672" s="24">
        <v>2000</v>
      </c>
      <c r="F672" s="24"/>
      <c r="G672" s="24"/>
      <c r="H672" s="24"/>
      <c r="I672" s="24"/>
      <c r="J672" s="24"/>
      <c r="K672" s="24"/>
      <c r="L672" s="24"/>
      <c r="M672" s="24"/>
      <c r="N672" s="24"/>
      <c r="O672" s="24">
        <v>2000</v>
      </c>
      <c r="P672" s="24">
        <v>2000</v>
      </c>
      <c r="Q672" s="24"/>
      <c r="R672" s="24"/>
      <c r="S672" s="24"/>
      <c r="T672" s="22"/>
      <c r="U672" s="22"/>
    </row>
    <row r="673" spans="1:21" ht="22.5" hidden="1">
      <c r="A673" s="243"/>
      <c r="B673" s="106" t="s">
        <v>842</v>
      </c>
      <c r="C673" s="105">
        <v>7568517</v>
      </c>
      <c r="D673" s="44">
        <v>3000</v>
      </c>
      <c r="E673" s="24">
        <v>1884.732</v>
      </c>
      <c r="F673" s="24"/>
      <c r="G673" s="24"/>
      <c r="H673" s="24"/>
      <c r="I673" s="24"/>
      <c r="J673" s="24"/>
      <c r="K673" s="24"/>
      <c r="L673" s="24"/>
      <c r="M673" s="24"/>
      <c r="N673" s="24"/>
      <c r="O673" s="24">
        <v>1884.732</v>
      </c>
      <c r="P673" s="24"/>
      <c r="Q673" s="24">
        <v>1884.732</v>
      </c>
      <c r="R673" s="24"/>
      <c r="S673" s="24"/>
      <c r="T673" s="22"/>
      <c r="U673" s="22"/>
    </row>
    <row r="674" spans="1:21" s="41" customFormat="1" hidden="1">
      <c r="A674" s="37"/>
      <c r="B674" s="38" t="s">
        <v>309</v>
      </c>
      <c r="C674" s="38"/>
      <c r="D674" s="39">
        <v>13320</v>
      </c>
      <c r="E674" s="61">
        <v>756.47500000000002</v>
      </c>
      <c r="F674" s="61">
        <v>523.65600000000006</v>
      </c>
      <c r="G674" s="61">
        <v>0</v>
      </c>
      <c r="H674" s="61">
        <v>0</v>
      </c>
      <c r="I674" s="61">
        <v>0</v>
      </c>
      <c r="J674" s="61">
        <v>0</v>
      </c>
      <c r="K674" s="61">
        <v>0</v>
      </c>
      <c r="L674" s="61">
        <v>0</v>
      </c>
      <c r="M674" s="61">
        <v>0</v>
      </c>
      <c r="N674" s="61">
        <v>0</v>
      </c>
      <c r="O674" s="61">
        <v>232.81899999999999</v>
      </c>
      <c r="P674" s="61">
        <v>194.95</v>
      </c>
      <c r="Q674" s="61">
        <v>37.869</v>
      </c>
      <c r="R674" s="61">
        <v>0</v>
      </c>
      <c r="S674" s="61">
        <v>0</v>
      </c>
      <c r="T674" s="39">
        <v>0</v>
      </c>
      <c r="U674" s="93"/>
    </row>
    <row r="675" spans="1:21" hidden="1">
      <c r="A675" s="243"/>
      <c r="B675" s="33" t="s">
        <v>843</v>
      </c>
      <c r="C675" s="34">
        <v>7625920</v>
      </c>
      <c r="D675" s="44">
        <v>1440</v>
      </c>
      <c r="E675" s="24">
        <v>54.985999999999997</v>
      </c>
      <c r="F675" s="24">
        <v>54.985999999999997</v>
      </c>
      <c r="G675" s="24"/>
      <c r="H675" s="24"/>
      <c r="I675" s="24"/>
      <c r="J675" s="24"/>
      <c r="K675" s="24"/>
      <c r="L675" s="24"/>
      <c r="M675" s="24"/>
      <c r="N675" s="24"/>
      <c r="O675" s="24"/>
      <c r="P675" s="24"/>
      <c r="Q675" s="24"/>
      <c r="R675" s="24"/>
      <c r="S675" s="24"/>
      <c r="T675" s="22"/>
      <c r="U675" s="22"/>
    </row>
    <row r="676" spans="1:21" hidden="1">
      <c r="A676" s="243"/>
      <c r="B676" s="33" t="s">
        <v>844</v>
      </c>
      <c r="C676" s="34">
        <v>7625921</v>
      </c>
      <c r="D676" s="44">
        <v>2160</v>
      </c>
      <c r="E676" s="24">
        <v>75.546000000000006</v>
      </c>
      <c r="F676" s="24">
        <v>75.546000000000006</v>
      </c>
      <c r="G676" s="24"/>
      <c r="H676" s="24"/>
      <c r="I676" s="24"/>
      <c r="J676" s="24"/>
      <c r="K676" s="24"/>
      <c r="L676" s="24"/>
      <c r="M676" s="24"/>
      <c r="N676" s="24"/>
      <c r="O676" s="24"/>
      <c r="P676" s="24"/>
      <c r="Q676" s="24"/>
      <c r="R676" s="24"/>
      <c r="S676" s="24"/>
      <c r="T676" s="22"/>
      <c r="U676" s="22"/>
    </row>
    <row r="677" spans="1:21" hidden="1">
      <c r="A677" s="243"/>
      <c r="B677" s="33" t="s">
        <v>845</v>
      </c>
      <c r="C677" s="34">
        <v>7625925</v>
      </c>
      <c r="D677" s="44">
        <v>1440</v>
      </c>
      <c r="E677" s="24">
        <v>63.911999999999999</v>
      </c>
      <c r="F677" s="24">
        <v>63.911999999999999</v>
      </c>
      <c r="G677" s="24"/>
      <c r="H677" s="24"/>
      <c r="I677" s="24"/>
      <c r="J677" s="24"/>
      <c r="K677" s="24"/>
      <c r="L677" s="24"/>
      <c r="M677" s="24"/>
      <c r="N677" s="24"/>
      <c r="O677" s="24"/>
      <c r="P677" s="24"/>
      <c r="Q677" s="24"/>
      <c r="R677" s="24"/>
      <c r="S677" s="24"/>
      <c r="T677" s="22"/>
      <c r="U677" s="22"/>
    </row>
    <row r="678" spans="1:21" hidden="1">
      <c r="A678" s="243"/>
      <c r="B678" s="33" t="s">
        <v>846</v>
      </c>
      <c r="C678" s="34">
        <v>7625926</v>
      </c>
      <c r="D678" s="44">
        <v>2880</v>
      </c>
      <c r="E678" s="24">
        <v>93.558000000000007</v>
      </c>
      <c r="F678" s="24">
        <v>93.558000000000007</v>
      </c>
      <c r="G678" s="24"/>
      <c r="H678" s="24"/>
      <c r="I678" s="24"/>
      <c r="J678" s="24"/>
      <c r="K678" s="24"/>
      <c r="L678" s="24"/>
      <c r="M678" s="24"/>
      <c r="N678" s="24"/>
      <c r="O678" s="24"/>
      <c r="P678" s="24"/>
      <c r="Q678" s="24"/>
      <c r="R678" s="24"/>
      <c r="S678" s="24"/>
      <c r="T678" s="22"/>
      <c r="U678" s="22"/>
    </row>
    <row r="679" spans="1:21" hidden="1">
      <c r="A679" s="243"/>
      <c r="B679" s="33" t="s">
        <v>847</v>
      </c>
      <c r="C679" s="34">
        <v>7625923</v>
      </c>
      <c r="D679" s="44">
        <v>900</v>
      </c>
      <c r="E679" s="24">
        <v>32.661000000000001</v>
      </c>
      <c r="F679" s="24">
        <v>32.661000000000001</v>
      </c>
      <c r="G679" s="24"/>
      <c r="H679" s="24"/>
      <c r="I679" s="24"/>
      <c r="J679" s="24"/>
      <c r="K679" s="24"/>
      <c r="L679" s="24"/>
      <c r="M679" s="24"/>
      <c r="N679" s="24"/>
      <c r="O679" s="24"/>
      <c r="P679" s="24"/>
      <c r="Q679" s="24"/>
      <c r="R679" s="24"/>
      <c r="S679" s="24"/>
      <c r="T679" s="22"/>
      <c r="U679" s="22"/>
    </row>
    <row r="680" spans="1:21" hidden="1">
      <c r="A680" s="243"/>
      <c r="B680" s="33" t="s">
        <v>848</v>
      </c>
      <c r="C680" s="34">
        <v>7625927</v>
      </c>
      <c r="D680" s="44">
        <v>1350</v>
      </c>
      <c r="E680" s="24">
        <v>52.674999999999997</v>
      </c>
      <c r="F680" s="24">
        <v>52.674999999999997</v>
      </c>
      <c r="G680" s="24"/>
      <c r="H680" s="24"/>
      <c r="I680" s="24"/>
      <c r="J680" s="24"/>
      <c r="K680" s="24"/>
      <c r="L680" s="24"/>
      <c r="M680" s="24"/>
      <c r="N680" s="24"/>
      <c r="O680" s="24"/>
      <c r="P680" s="24"/>
      <c r="Q680" s="24"/>
      <c r="R680" s="24"/>
      <c r="S680" s="24"/>
      <c r="T680" s="22"/>
      <c r="U680" s="22"/>
    </row>
    <row r="681" spans="1:21" hidden="1">
      <c r="A681" s="243"/>
      <c r="B681" s="33" t="s">
        <v>849</v>
      </c>
      <c r="C681" s="34">
        <v>7625924</v>
      </c>
      <c r="D681" s="44">
        <v>1350</v>
      </c>
      <c r="E681" s="24">
        <v>70.39</v>
      </c>
      <c r="F681" s="24">
        <v>70.39</v>
      </c>
      <c r="G681" s="24"/>
      <c r="H681" s="24"/>
      <c r="I681" s="24"/>
      <c r="J681" s="24"/>
      <c r="K681" s="24"/>
      <c r="L681" s="24"/>
      <c r="M681" s="24"/>
      <c r="N681" s="24"/>
      <c r="O681" s="24"/>
      <c r="P681" s="24"/>
      <c r="Q681" s="24"/>
      <c r="R681" s="24"/>
      <c r="S681" s="24"/>
      <c r="T681" s="22"/>
      <c r="U681" s="22"/>
    </row>
    <row r="682" spans="1:21" hidden="1">
      <c r="A682" s="243"/>
      <c r="B682" s="33" t="s">
        <v>850</v>
      </c>
      <c r="C682" s="34">
        <v>7625922</v>
      </c>
      <c r="D682" s="44">
        <v>1800</v>
      </c>
      <c r="E682" s="24">
        <v>65.751000000000005</v>
      </c>
      <c r="F682" s="24">
        <v>65.751000000000005</v>
      </c>
      <c r="G682" s="24"/>
      <c r="H682" s="24"/>
      <c r="I682" s="24"/>
      <c r="J682" s="24"/>
      <c r="K682" s="24"/>
      <c r="L682" s="24"/>
      <c r="M682" s="24"/>
      <c r="N682" s="24"/>
      <c r="O682" s="24"/>
      <c r="P682" s="24"/>
      <c r="Q682" s="24"/>
      <c r="R682" s="24"/>
      <c r="S682" s="24"/>
      <c r="T682" s="22"/>
      <c r="U682" s="22"/>
    </row>
    <row r="683" spans="1:21" ht="22.5" hidden="1">
      <c r="A683" s="243"/>
      <c r="B683" s="49" t="s">
        <v>851</v>
      </c>
      <c r="C683" s="34">
        <v>7599457</v>
      </c>
      <c r="D683" s="22"/>
      <c r="E683" s="24">
        <v>13.3</v>
      </c>
      <c r="F683" s="24"/>
      <c r="G683" s="24"/>
      <c r="H683" s="24"/>
      <c r="I683" s="24"/>
      <c r="J683" s="24"/>
      <c r="K683" s="24"/>
      <c r="L683" s="24"/>
      <c r="M683" s="24"/>
      <c r="N683" s="24"/>
      <c r="O683" s="24">
        <v>13.3</v>
      </c>
      <c r="P683" s="24"/>
      <c r="Q683" s="24">
        <v>13.3</v>
      </c>
      <c r="R683" s="24"/>
      <c r="S683" s="24"/>
      <c r="T683" s="22"/>
      <c r="U683" s="22"/>
    </row>
    <row r="684" spans="1:21" ht="22.5" hidden="1">
      <c r="A684" s="243"/>
      <c r="B684" s="49" t="s">
        <v>852</v>
      </c>
      <c r="C684" s="34">
        <v>7599459</v>
      </c>
      <c r="D684" s="22"/>
      <c r="E684" s="24">
        <v>24.568999999999999</v>
      </c>
      <c r="F684" s="24"/>
      <c r="G684" s="24"/>
      <c r="H684" s="24"/>
      <c r="I684" s="24"/>
      <c r="J684" s="24"/>
      <c r="K684" s="24"/>
      <c r="L684" s="24"/>
      <c r="M684" s="24"/>
      <c r="N684" s="24"/>
      <c r="O684" s="24">
        <v>24.568999999999999</v>
      </c>
      <c r="P684" s="24"/>
      <c r="Q684" s="24">
        <v>24.568999999999999</v>
      </c>
      <c r="R684" s="24"/>
      <c r="S684" s="24"/>
      <c r="T684" s="22"/>
      <c r="U684" s="22"/>
    </row>
    <row r="685" spans="1:21" ht="22.5" hidden="1">
      <c r="A685" s="243"/>
      <c r="B685" s="49" t="s">
        <v>853</v>
      </c>
      <c r="C685" s="34">
        <v>7603610</v>
      </c>
      <c r="D685" s="22"/>
      <c r="E685" s="24">
        <v>144.94999999999999</v>
      </c>
      <c r="F685" s="24"/>
      <c r="G685" s="24"/>
      <c r="H685" s="24"/>
      <c r="I685" s="24"/>
      <c r="J685" s="24"/>
      <c r="K685" s="24"/>
      <c r="L685" s="24"/>
      <c r="M685" s="24"/>
      <c r="N685" s="24"/>
      <c r="O685" s="24">
        <v>144.94999999999999</v>
      </c>
      <c r="P685" s="24">
        <v>144.94999999999999</v>
      </c>
      <c r="Q685" s="24"/>
      <c r="R685" s="24"/>
      <c r="S685" s="24"/>
      <c r="T685" s="22"/>
      <c r="U685" s="22"/>
    </row>
    <row r="686" spans="1:21" ht="33.75" hidden="1">
      <c r="A686" s="243"/>
      <c r="B686" s="49" t="s">
        <v>854</v>
      </c>
      <c r="C686" s="34">
        <v>7597933</v>
      </c>
      <c r="D686" s="22"/>
      <c r="E686" s="24">
        <v>3.1549999999999998</v>
      </c>
      <c r="F686" s="24">
        <v>3.1549999999999998</v>
      </c>
      <c r="G686" s="24"/>
      <c r="H686" s="24"/>
      <c r="I686" s="24"/>
      <c r="J686" s="24"/>
      <c r="K686" s="24"/>
      <c r="L686" s="24"/>
      <c r="M686" s="24"/>
      <c r="N686" s="24"/>
      <c r="O686" s="24"/>
      <c r="P686" s="24"/>
      <c r="Q686" s="24"/>
      <c r="R686" s="24"/>
      <c r="S686" s="24"/>
      <c r="T686" s="22"/>
      <c r="U686" s="22"/>
    </row>
    <row r="687" spans="1:21" hidden="1">
      <c r="A687" s="243"/>
      <c r="B687" s="49" t="s">
        <v>855</v>
      </c>
      <c r="C687" s="34">
        <v>7505350</v>
      </c>
      <c r="D687" s="22"/>
      <c r="E687" s="24">
        <v>11.022</v>
      </c>
      <c r="F687" s="24">
        <v>11.022</v>
      </c>
      <c r="G687" s="24"/>
      <c r="H687" s="24"/>
      <c r="I687" s="24"/>
      <c r="J687" s="24"/>
      <c r="K687" s="24"/>
      <c r="L687" s="24"/>
      <c r="M687" s="24"/>
      <c r="N687" s="24"/>
      <c r="O687" s="24"/>
      <c r="P687" s="24"/>
      <c r="Q687" s="24"/>
      <c r="R687" s="24"/>
      <c r="S687" s="24"/>
      <c r="T687" s="22"/>
      <c r="U687" s="22"/>
    </row>
    <row r="688" spans="1:21" ht="22.5" hidden="1">
      <c r="A688" s="243"/>
      <c r="B688" s="33" t="s">
        <v>856</v>
      </c>
      <c r="C688" s="34">
        <v>7623872</v>
      </c>
      <c r="D688" s="22"/>
      <c r="E688" s="24">
        <v>50</v>
      </c>
      <c r="F688" s="24"/>
      <c r="G688" s="24"/>
      <c r="H688" s="24"/>
      <c r="I688" s="24"/>
      <c r="J688" s="24"/>
      <c r="K688" s="24"/>
      <c r="L688" s="24"/>
      <c r="M688" s="24"/>
      <c r="N688" s="24"/>
      <c r="O688" s="24">
        <v>50</v>
      </c>
      <c r="P688" s="24">
        <v>50</v>
      </c>
      <c r="Q688" s="24"/>
      <c r="R688" s="24"/>
      <c r="S688" s="24"/>
      <c r="T688" s="22"/>
      <c r="U688" s="22"/>
    </row>
    <row r="689" spans="1:21">
      <c r="A689" s="243">
        <v>46</v>
      </c>
      <c r="B689" s="18" t="s">
        <v>857</v>
      </c>
      <c r="C689" s="18"/>
      <c r="D689" s="19">
        <v>48941.574999999997</v>
      </c>
      <c r="E689" s="124">
        <v>37671.508000000002</v>
      </c>
      <c r="F689" s="124">
        <v>13886.724999999999</v>
      </c>
      <c r="G689" s="124">
        <v>0</v>
      </c>
      <c r="H689" s="124">
        <v>0</v>
      </c>
      <c r="I689" s="124">
        <v>0</v>
      </c>
      <c r="J689" s="124">
        <v>0</v>
      </c>
      <c r="K689" s="124">
        <v>1.661</v>
      </c>
      <c r="L689" s="124">
        <v>861.45600000000002</v>
      </c>
      <c r="M689" s="124">
        <v>0</v>
      </c>
      <c r="N689" s="124">
        <v>51.158000000000001</v>
      </c>
      <c r="O689" s="124">
        <v>19968.909</v>
      </c>
      <c r="P689" s="124">
        <v>10468.799000000001</v>
      </c>
      <c r="Q689" s="124">
        <v>0</v>
      </c>
      <c r="R689" s="124">
        <v>2901.5990000000002</v>
      </c>
      <c r="S689" s="124">
        <v>0</v>
      </c>
      <c r="T689" s="19">
        <v>0</v>
      </c>
      <c r="U689" s="22"/>
    </row>
    <row r="690" spans="1:21" s="41" customFormat="1">
      <c r="A690" s="91" t="s">
        <v>16</v>
      </c>
      <c r="B690" s="92" t="s">
        <v>183</v>
      </c>
      <c r="C690" s="92"/>
      <c r="D690" s="93">
        <v>46641.574999999997</v>
      </c>
      <c r="E690" s="489">
        <v>33863.508000000002</v>
      </c>
      <c r="F690" s="489">
        <v>13886.724999999999</v>
      </c>
      <c r="G690" s="489">
        <v>0</v>
      </c>
      <c r="H690" s="489">
        <v>0</v>
      </c>
      <c r="I690" s="489">
        <v>0</v>
      </c>
      <c r="J690" s="489">
        <v>0</v>
      </c>
      <c r="K690" s="489">
        <v>1.661</v>
      </c>
      <c r="L690" s="489">
        <v>861.45600000000002</v>
      </c>
      <c r="M690" s="489">
        <v>0</v>
      </c>
      <c r="N690" s="489">
        <v>51.158000000000001</v>
      </c>
      <c r="O690" s="489">
        <v>16160.909</v>
      </c>
      <c r="P690" s="489">
        <v>10468.799000000001</v>
      </c>
      <c r="Q690" s="489">
        <v>0</v>
      </c>
      <c r="R690" s="489">
        <v>2901.5990000000002</v>
      </c>
      <c r="S690" s="489">
        <v>0</v>
      </c>
      <c r="T690" s="93">
        <v>0</v>
      </c>
      <c r="U690" s="93"/>
    </row>
    <row r="691" spans="1:21" s="41" customFormat="1" hidden="1">
      <c r="A691" s="37"/>
      <c r="B691" s="38" t="s">
        <v>294</v>
      </c>
      <c r="C691" s="38"/>
      <c r="D691" s="39">
        <v>16147.575000000001</v>
      </c>
      <c r="E691" s="61">
        <v>12839.145</v>
      </c>
      <c r="F691" s="61">
        <v>5052.7299999999996</v>
      </c>
      <c r="G691" s="61">
        <v>0</v>
      </c>
      <c r="H691" s="61">
        <v>0</v>
      </c>
      <c r="I691" s="61">
        <v>0</v>
      </c>
      <c r="J691" s="61">
        <v>0</v>
      </c>
      <c r="K691" s="61">
        <v>0</v>
      </c>
      <c r="L691" s="61">
        <v>0</v>
      </c>
      <c r="M691" s="61">
        <v>0</v>
      </c>
      <c r="N691" s="61">
        <v>0</v>
      </c>
      <c r="O691" s="61">
        <v>5441.415</v>
      </c>
      <c r="P691" s="61">
        <v>3739.625</v>
      </c>
      <c r="Q691" s="61">
        <v>0</v>
      </c>
      <c r="R691" s="61">
        <v>2345</v>
      </c>
      <c r="S691" s="61">
        <v>0</v>
      </c>
      <c r="T691" s="39">
        <v>0</v>
      </c>
      <c r="U691" s="39"/>
    </row>
    <row r="692" spans="1:21" ht="22.5" hidden="1">
      <c r="A692" s="243"/>
      <c r="B692" s="33" t="s">
        <v>858</v>
      </c>
      <c r="C692" s="100">
        <v>7594245</v>
      </c>
      <c r="D692" s="22">
        <v>500</v>
      </c>
      <c r="E692" s="24">
        <v>402.73</v>
      </c>
      <c r="F692" s="24">
        <v>402.73</v>
      </c>
      <c r="G692" s="24"/>
      <c r="H692" s="24"/>
      <c r="I692" s="24"/>
      <c r="J692" s="24"/>
      <c r="K692" s="24"/>
      <c r="L692" s="24"/>
      <c r="M692" s="24"/>
      <c r="N692" s="24"/>
      <c r="O692" s="24"/>
      <c r="P692" s="24"/>
      <c r="Q692" s="24"/>
      <c r="R692" s="24"/>
      <c r="S692" s="24"/>
      <c r="T692" s="22"/>
      <c r="U692" s="22"/>
    </row>
    <row r="693" spans="1:21" hidden="1">
      <c r="A693" s="243"/>
      <c r="B693" s="120" t="s">
        <v>859</v>
      </c>
      <c r="C693" s="122">
        <v>7570223</v>
      </c>
      <c r="D693" s="44">
        <v>1300</v>
      </c>
      <c r="E693" s="482">
        <v>1250</v>
      </c>
      <c r="F693" s="24">
        <v>1250</v>
      </c>
      <c r="G693" s="24"/>
      <c r="H693" s="24"/>
      <c r="I693" s="24"/>
      <c r="J693" s="24"/>
      <c r="K693" s="24"/>
      <c r="L693" s="24"/>
      <c r="M693" s="24"/>
      <c r="N693" s="24"/>
      <c r="O693" s="24"/>
      <c r="P693" s="24"/>
      <c r="Q693" s="24"/>
      <c r="R693" s="24"/>
      <c r="S693" s="24"/>
      <c r="T693" s="22"/>
      <c r="U693" s="22"/>
    </row>
    <row r="694" spans="1:21" hidden="1">
      <c r="A694" s="243"/>
      <c r="B694" s="120" t="s">
        <v>860</v>
      </c>
      <c r="C694" s="122">
        <v>7570238</v>
      </c>
      <c r="D694" s="44">
        <v>1300</v>
      </c>
      <c r="E694" s="482">
        <v>1250</v>
      </c>
      <c r="F694" s="24">
        <v>1250</v>
      </c>
      <c r="G694" s="24"/>
      <c r="H694" s="24"/>
      <c r="I694" s="24"/>
      <c r="J694" s="24"/>
      <c r="K694" s="24"/>
      <c r="L694" s="24"/>
      <c r="M694" s="24"/>
      <c r="N694" s="24"/>
      <c r="O694" s="24"/>
      <c r="P694" s="24"/>
      <c r="Q694" s="24"/>
      <c r="R694" s="24"/>
      <c r="S694" s="24"/>
      <c r="T694" s="22"/>
      <c r="U694" s="22"/>
    </row>
    <row r="695" spans="1:21" hidden="1">
      <c r="A695" s="243"/>
      <c r="B695" s="120" t="s">
        <v>861</v>
      </c>
      <c r="C695" s="122">
        <v>7570215</v>
      </c>
      <c r="D695" s="44">
        <v>1300</v>
      </c>
      <c r="E695" s="482">
        <v>1250</v>
      </c>
      <c r="F695" s="24">
        <v>1250</v>
      </c>
      <c r="G695" s="24"/>
      <c r="H695" s="24"/>
      <c r="I695" s="24"/>
      <c r="J695" s="24"/>
      <c r="K695" s="24"/>
      <c r="L695" s="24"/>
      <c r="M695" s="24"/>
      <c r="N695" s="24"/>
      <c r="O695" s="24"/>
      <c r="P695" s="24"/>
      <c r="Q695" s="24"/>
      <c r="R695" s="24"/>
      <c r="S695" s="24"/>
      <c r="T695" s="22"/>
      <c r="U695" s="22"/>
    </row>
    <row r="696" spans="1:21" ht="33.75" hidden="1">
      <c r="A696" s="243"/>
      <c r="B696" s="120" t="s">
        <v>862</v>
      </c>
      <c r="C696" s="122">
        <v>7608259</v>
      </c>
      <c r="D696" s="44">
        <v>500</v>
      </c>
      <c r="E696" s="482">
        <v>400</v>
      </c>
      <c r="F696" s="24">
        <v>400</v>
      </c>
      <c r="G696" s="24"/>
      <c r="H696" s="24"/>
      <c r="I696" s="24"/>
      <c r="J696" s="24"/>
      <c r="K696" s="24"/>
      <c r="L696" s="24"/>
      <c r="M696" s="24"/>
      <c r="N696" s="24"/>
      <c r="O696" s="24"/>
      <c r="P696" s="24"/>
      <c r="Q696" s="24"/>
      <c r="R696" s="24"/>
      <c r="S696" s="24"/>
      <c r="T696" s="22"/>
      <c r="U696" s="22"/>
    </row>
    <row r="697" spans="1:21" hidden="1">
      <c r="A697" s="243"/>
      <c r="B697" s="120" t="s">
        <v>863</v>
      </c>
      <c r="C697" s="122">
        <v>7608256</v>
      </c>
      <c r="D697" s="44">
        <v>500</v>
      </c>
      <c r="E697" s="482">
        <v>500</v>
      </c>
      <c r="F697" s="24">
        <v>500</v>
      </c>
      <c r="G697" s="24"/>
      <c r="H697" s="24"/>
      <c r="I697" s="24"/>
      <c r="J697" s="24"/>
      <c r="K697" s="24"/>
      <c r="L697" s="24"/>
      <c r="M697" s="24"/>
      <c r="N697" s="24"/>
      <c r="O697" s="24"/>
      <c r="P697" s="24"/>
      <c r="Q697" s="24"/>
      <c r="R697" s="24"/>
      <c r="S697" s="24"/>
      <c r="T697" s="22"/>
      <c r="U697" s="22"/>
    </row>
    <row r="698" spans="1:21" ht="22.5" hidden="1">
      <c r="A698" s="243"/>
      <c r="B698" s="120" t="s">
        <v>864</v>
      </c>
      <c r="C698" s="122">
        <v>7608251</v>
      </c>
      <c r="D698" s="44">
        <v>300</v>
      </c>
      <c r="E698" s="482">
        <v>0</v>
      </c>
      <c r="F698" s="24">
        <v>0</v>
      </c>
      <c r="G698" s="24"/>
      <c r="H698" s="24"/>
      <c r="I698" s="24"/>
      <c r="J698" s="24"/>
      <c r="K698" s="24"/>
      <c r="L698" s="24"/>
      <c r="M698" s="24"/>
      <c r="N698" s="24"/>
      <c r="O698" s="24"/>
      <c r="P698" s="24"/>
      <c r="Q698" s="24"/>
      <c r="R698" s="24"/>
      <c r="S698" s="24"/>
      <c r="T698" s="22"/>
      <c r="U698" s="22"/>
    </row>
    <row r="699" spans="1:21" ht="22.5" hidden="1">
      <c r="A699" s="243"/>
      <c r="B699" s="63" t="s">
        <v>865</v>
      </c>
      <c r="C699" s="34">
        <v>7393177</v>
      </c>
      <c r="D699" s="44">
        <v>79.575000000000003</v>
      </c>
      <c r="E699" s="482">
        <v>79.575000000000003</v>
      </c>
      <c r="F699" s="24"/>
      <c r="G699" s="24"/>
      <c r="H699" s="24"/>
      <c r="I699" s="24"/>
      <c r="J699" s="24"/>
      <c r="K699" s="24"/>
      <c r="L699" s="24"/>
      <c r="M699" s="24"/>
      <c r="N699" s="24"/>
      <c r="O699" s="482">
        <v>79.575000000000003</v>
      </c>
      <c r="P699" s="482">
        <v>79.575000000000003</v>
      </c>
      <c r="Q699" s="24"/>
      <c r="R699" s="24"/>
      <c r="S699" s="24"/>
      <c r="T699" s="22"/>
      <c r="U699" s="22"/>
    </row>
    <row r="700" spans="1:21" ht="45" hidden="1">
      <c r="A700" s="243"/>
      <c r="B700" s="49" t="s">
        <v>866</v>
      </c>
      <c r="C700" s="88">
        <v>7443356</v>
      </c>
      <c r="D700" s="22">
        <v>5000</v>
      </c>
      <c r="E700" s="24">
        <v>3660.05</v>
      </c>
      <c r="F700" s="24"/>
      <c r="G700" s="24"/>
      <c r="H700" s="24"/>
      <c r="I700" s="24"/>
      <c r="J700" s="24"/>
      <c r="K700" s="24"/>
      <c r="L700" s="24"/>
      <c r="M700" s="24"/>
      <c r="N700" s="24"/>
      <c r="O700" s="24">
        <v>3660.05</v>
      </c>
      <c r="P700" s="24">
        <v>3660.05</v>
      </c>
      <c r="Q700" s="24"/>
      <c r="R700" s="24"/>
      <c r="S700" s="24"/>
      <c r="T700" s="22"/>
      <c r="U700" s="22"/>
    </row>
    <row r="701" spans="1:21" ht="22.5" hidden="1">
      <c r="A701" s="243"/>
      <c r="B701" s="168" t="s">
        <v>867</v>
      </c>
      <c r="C701" s="123">
        <v>7439359</v>
      </c>
      <c r="D701" s="22">
        <v>1868</v>
      </c>
      <c r="E701" s="482">
        <v>1701.79</v>
      </c>
      <c r="F701" s="24"/>
      <c r="G701" s="24"/>
      <c r="H701" s="24"/>
      <c r="I701" s="24"/>
      <c r="J701" s="24"/>
      <c r="K701" s="24"/>
      <c r="L701" s="24"/>
      <c r="M701" s="24"/>
      <c r="N701" s="24"/>
      <c r="O701" s="482">
        <v>1701.79</v>
      </c>
      <c r="P701" s="24"/>
      <c r="Q701" s="24"/>
      <c r="R701" s="24"/>
      <c r="S701" s="24"/>
      <c r="T701" s="22"/>
      <c r="U701" s="22"/>
    </row>
    <row r="702" spans="1:21" hidden="1">
      <c r="A702" s="243"/>
      <c r="B702" s="49" t="s">
        <v>868</v>
      </c>
      <c r="C702" s="123">
        <v>7375209</v>
      </c>
      <c r="D702" s="22">
        <v>500</v>
      </c>
      <c r="E702" s="24">
        <v>500</v>
      </c>
      <c r="F702" s="24"/>
      <c r="G702" s="24"/>
      <c r="H702" s="24"/>
      <c r="I702" s="24"/>
      <c r="J702" s="24"/>
      <c r="K702" s="24"/>
      <c r="L702" s="24"/>
      <c r="M702" s="24"/>
      <c r="N702" s="24"/>
      <c r="O702" s="24"/>
      <c r="P702" s="24"/>
      <c r="Q702" s="24"/>
      <c r="R702" s="24">
        <v>500</v>
      </c>
      <c r="S702" s="24"/>
      <c r="T702" s="22"/>
      <c r="U702" s="22"/>
    </row>
    <row r="703" spans="1:21" hidden="1">
      <c r="A703" s="243"/>
      <c r="B703" s="49" t="s">
        <v>869</v>
      </c>
      <c r="C703" s="88">
        <v>7530841</v>
      </c>
      <c r="D703" s="22">
        <v>1000</v>
      </c>
      <c r="E703" s="24">
        <v>1000</v>
      </c>
      <c r="F703" s="24"/>
      <c r="G703" s="24"/>
      <c r="H703" s="24"/>
      <c r="I703" s="24"/>
      <c r="J703" s="24"/>
      <c r="K703" s="24"/>
      <c r="L703" s="24"/>
      <c r="M703" s="24"/>
      <c r="N703" s="24"/>
      <c r="O703" s="24"/>
      <c r="P703" s="24"/>
      <c r="Q703" s="24"/>
      <c r="R703" s="24">
        <v>1000</v>
      </c>
      <c r="S703" s="24"/>
      <c r="T703" s="22"/>
      <c r="U703" s="22"/>
    </row>
    <row r="704" spans="1:21" ht="33.75" hidden="1">
      <c r="A704" s="243"/>
      <c r="B704" s="49" t="s">
        <v>870</v>
      </c>
      <c r="C704" s="88">
        <v>7584817</v>
      </c>
      <c r="D704" s="22">
        <v>2000</v>
      </c>
      <c r="E704" s="24">
        <v>845</v>
      </c>
      <c r="F704" s="24"/>
      <c r="G704" s="24"/>
      <c r="H704" s="24"/>
      <c r="I704" s="24"/>
      <c r="J704" s="24"/>
      <c r="K704" s="24"/>
      <c r="L704" s="24"/>
      <c r="M704" s="24"/>
      <c r="N704" s="24"/>
      <c r="O704" s="24"/>
      <c r="P704" s="24"/>
      <c r="Q704" s="24"/>
      <c r="R704" s="24">
        <v>845</v>
      </c>
      <c r="S704" s="24"/>
      <c r="T704" s="22"/>
      <c r="U704" s="22"/>
    </row>
    <row r="705" spans="1:21" s="41" customFormat="1" hidden="1">
      <c r="A705" s="37"/>
      <c r="B705" s="38" t="s">
        <v>281</v>
      </c>
      <c r="C705" s="38"/>
      <c r="D705" s="39">
        <v>1700</v>
      </c>
      <c r="E705" s="61">
        <v>1600</v>
      </c>
      <c r="F705" s="61">
        <v>1600</v>
      </c>
      <c r="G705" s="61">
        <v>0</v>
      </c>
      <c r="H705" s="61">
        <v>0</v>
      </c>
      <c r="I705" s="61">
        <v>0</v>
      </c>
      <c r="J705" s="61">
        <v>0</v>
      </c>
      <c r="K705" s="61">
        <v>0</v>
      </c>
      <c r="L705" s="61">
        <v>0</v>
      </c>
      <c r="M705" s="61">
        <v>0</v>
      </c>
      <c r="N705" s="61">
        <v>0</v>
      </c>
      <c r="O705" s="61">
        <v>0</v>
      </c>
      <c r="P705" s="61">
        <v>0</v>
      </c>
      <c r="Q705" s="61">
        <v>0</v>
      </c>
      <c r="R705" s="61">
        <v>0</v>
      </c>
      <c r="S705" s="61">
        <v>0</v>
      </c>
      <c r="T705" s="39">
        <v>0</v>
      </c>
      <c r="U705" s="93"/>
    </row>
    <row r="706" spans="1:21" ht="33.75" hidden="1">
      <c r="A706" s="243"/>
      <c r="B706" s="33" t="s">
        <v>862</v>
      </c>
      <c r="C706" s="34">
        <v>7608259</v>
      </c>
      <c r="D706" s="44">
        <v>500</v>
      </c>
      <c r="E706" s="24">
        <v>500</v>
      </c>
      <c r="F706" s="24">
        <v>500</v>
      </c>
      <c r="G706" s="24"/>
      <c r="H706" s="24"/>
      <c r="I706" s="24"/>
      <c r="J706" s="24"/>
      <c r="K706" s="24"/>
      <c r="L706" s="24"/>
      <c r="M706" s="24"/>
      <c r="N706" s="24"/>
      <c r="O706" s="24"/>
      <c r="P706" s="24"/>
      <c r="Q706" s="24"/>
      <c r="R706" s="24"/>
      <c r="S706" s="24"/>
      <c r="T706" s="22"/>
      <c r="U706" s="22"/>
    </row>
    <row r="707" spans="1:21" hidden="1">
      <c r="A707" s="243"/>
      <c r="B707" s="33" t="s">
        <v>863</v>
      </c>
      <c r="C707" s="122">
        <v>7608256</v>
      </c>
      <c r="D707" s="44">
        <v>500</v>
      </c>
      <c r="E707" s="24">
        <v>465</v>
      </c>
      <c r="F707" s="24">
        <v>465</v>
      </c>
      <c r="G707" s="24"/>
      <c r="H707" s="24"/>
      <c r="I707" s="24"/>
      <c r="J707" s="24"/>
      <c r="K707" s="24"/>
      <c r="L707" s="24"/>
      <c r="M707" s="24"/>
      <c r="N707" s="24"/>
      <c r="O707" s="24"/>
      <c r="P707" s="24"/>
      <c r="Q707" s="24"/>
      <c r="R707" s="24"/>
      <c r="S707" s="24"/>
      <c r="T707" s="22"/>
      <c r="U707" s="22"/>
    </row>
    <row r="708" spans="1:21" ht="22.5" hidden="1">
      <c r="A708" s="243"/>
      <c r="B708" s="33" t="s">
        <v>864</v>
      </c>
      <c r="C708" s="122">
        <v>7608251</v>
      </c>
      <c r="D708" s="44">
        <v>700</v>
      </c>
      <c r="E708" s="24">
        <v>635</v>
      </c>
      <c r="F708" s="24">
        <v>635</v>
      </c>
      <c r="G708" s="24"/>
      <c r="H708" s="24"/>
      <c r="I708" s="24"/>
      <c r="J708" s="24"/>
      <c r="K708" s="24"/>
      <c r="L708" s="24"/>
      <c r="M708" s="24"/>
      <c r="N708" s="24"/>
      <c r="O708" s="24"/>
      <c r="P708" s="24"/>
      <c r="Q708" s="24"/>
      <c r="R708" s="24"/>
      <c r="S708" s="24"/>
      <c r="T708" s="22"/>
      <c r="U708" s="22"/>
    </row>
    <row r="709" spans="1:21" s="41" customFormat="1" hidden="1">
      <c r="A709" s="37"/>
      <c r="B709" s="38" t="s">
        <v>282</v>
      </c>
      <c r="C709" s="38"/>
      <c r="D709" s="39">
        <v>0</v>
      </c>
      <c r="E709" s="61">
        <v>3933.7710000000002</v>
      </c>
      <c r="F709" s="61">
        <v>0</v>
      </c>
      <c r="G709" s="61">
        <v>0</v>
      </c>
      <c r="H709" s="61">
        <v>0</v>
      </c>
      <c r="I709" s="61">
        <v>0</v>
      </c>
      <c r="J709" s="61">
        <v>0</v>
      </c>
      <c r="K709" s="61">
        <v>0</v>
      </c>
      <c r="L709" s="61">
        <v>0</v>
      </c>
      <c r="M709" s="61">
        <v>0</v>
      </c>
      <c r="N709" s="61">
        <v>0</v>
      </c>
      <c r="O709" s="61">
        <v>3933.7710000000002</v>
      </c>
      <c r="P709" s="61">
        <v>0</v>
      </c>
      <c r="Q709" s="61">
        <v>0</v>
      </c>
      <c r="R709" s="61">
        <v>0</v>
      </c>
      <c r="S709" s="61">
        <v>0</v>
      </c>
      <c r="T709" s="39">
        <v>0</v>
      </c>
      <c r="U709" s="93"/>
    </row>
    <row r="710" spans="1:21" ht="22.5" hidden="1">
      <c r="A710" s="243"/>
      <c r="B710" s="33" t="s">
        <v>871</v>
      </c>
      <c r="C710" s="34">
        <v>7391703</v>
      </c>
      <c r="D710" s="22"/>
      <c r="E710" s="24">
        <v>3933.7710000000002</v>
      </c>
      <c r="F710" s="24"/>
      <c r="G710" s="24"/>
      <c r="H710" s="24"/>
      <c r="I710" s="24"/>
      <c r="J710" s="24"/>
      <c r="K710" s="24"/>
      <c r="L710" s="24"/>
      <c r="M710" s="24"/>
      <c r="N710" s="24"/>
      <c r="O710" s="24">
        <v>3933.7710000000002</v>
      </c>
      <c r="P710" s="24"/>
      <c r="Q710" s="24"/>
      <c r="R710" s="24"/>
      <c r="S710" s="24"/>
      <c r="T710" s="22"/>
      <c r="U710" s="22"/>
    </row>
    <row r="711" spans="1:21" s="41" customFormat="1" ht="27" hidden="1" customHeight="1">
      <c r="A711" s="37"/>
      <c r="B711" s="38" t="s">
        <v>707</v>
      </c>
      <c r="C711" s="38"/>
      <c r="D711" s="39">
        <v>0</v>
      </c>
      <c r="E711" s="61">
        <v>13.164</v>
      </c>
      <c r="F711" s="61">
        <v>5.7389999999999999</v>
      </c>
      <c r="G711" s="61">
        <v>0</v>
      </c>
      <c r="H711" s="61">
        <v>0</v>
      </c>
      <c r="I711" s="61">
        <v>0</v>
      </c>
      <c r="J711" s="61">
        <v>0</v>
      </c>
      <c r="K711" s="61">
        <v>1.661</v>
      </c>
      <c r="L711" s="61">
        <v>0</v>
      </c>
      <c r="M711" s="61">
        <v>0</v>
      </c>
      <c r="N711" s="61">
        <v>0</v>
      </c>
      <c r="O711" s="61">
        <v>5.7640000000000002</v>
      </c>
      <c r="P711" s="61">
        <v>5.7640000000000002</v>
      </c>
      <c r="Q711" s="61">
        <v>0</v>
      </c>
      <c r="R711" s="61">
        <v>0</v>
      </c>
      <c r="S711" s="61">
        <v>0</v>
      </c>
      <c r="T711" s="39">
        <v>0</v>
      </c>
      <c r="U711" s="93"/>
    </row>
    <row r="712" spans="1:21" ht="33.75" hidden="1">
      <c r="A712" s="243"/>
      <c r="B712" s="33" t="s">
        <v>872</v>
      </c>
      <c r="C712" s="34">
        <v>7584826</v>
      </c>
      <c r="D712" s="22"/>
      <c r="E712" s="24">
        <v>2.8919999999999999</v>
      </c>
      <c r="F712" s="24">
        <v>2.8919999999999999</v>
      </c>
      <c r="G712" s="24"/>
      <c r="H712" s="24"/>
      <c r="I712" s="24"/>
      <c r="J712" s="24"/>
      <c r="K712" s="24"/>
      <c r="L712" s="24"/>
      <c r="M712" s="24"/>
      <c r="N712" s="24"/>
      <c r="O712" s="24"/>
      <c r="P712" s="24"/>
      <c r="Q712" s="24"/>
      <c r="R712" s="24"/>
      <c r="S712" s="24"/>
      <c r="T712" s="22"/>
      <c r="U712" s="22"/>
    </row>
    <row r="713" spans="1:21" ht="33.75" hidden="1">
      <c r="A713" s="243"/>
      <c r="B713" s="33" t="s">
        <v>873</v>
      </c>
      <c r="C713" s="34">
        <v>7584828</v>
      </c>
      <c r="D713" s="22"/>
      <c r="E713" s="24">
        <v>2.847</v>
      </c>
      <c r="F713" s="24">
        <v>2.847</v>
      </c>
      <c r="G713" s="24"/>
      <c r="H713" s="24"/>
      <c r="I713" s="24"/>
      <c r="J713" s="24"/>
      <c r="K713" s="24"/>
      <c r="L713" s="24"/>
      <c r="M713" s="24"/>
      <c r="N713" s="24"/>
      <c r="O713" s="24"/>
      <c r="P713" s="24"/>
      <c r="Q713" s="24"/>
      <c r="R713" s="24"/>
      <c r="S713" s="24"/>
      <c r="T713" s="22"/>
      <c r="U713" s="22"/>
    </row>
    <row r="714" spans="1:21" ht="22.5" hidden="1">
      <c r="A714" s="243"/>
      <c r="B714" s="33" t="s">
        <v>874</v>
      </c>
      <c r="C714" s="34">
        <v>7585594</v>
      </c>
      <c r="D714" s="22"/>
      <c r="E714" s="24">
        <v>1.633</v>
      </c>
      <c r="F714" s="24"/>
      <c r="G714" s="24"/>
      <c r="H714" s="24"/>
      <c r="I714" s="24"/>
      <c r="J714" s="24"/>
      <c r="K714" s="24"/>
      <c r="L714" s="24"/>
      <c r="M714" s="24"/>
      <c r="N714" s="24"/>
      <c r="O714" s="24">
        <v>1.633</v>
      </c>
      <c r="P714" s="24">
        <v>1.633</v>
      </c>
      <c r="Q714" s="24"/>
      <c r="R714" s="24"/>
      <c r="S714" s="24"/>
      <c r="T714" s="22"/>
      <c r="U714" s="22"/>
    </row>
    <row r="715" spans="1:21" ht="22.5" hidden="1">
      <c r="A715" s="243"/>
      <c r="B715" s="33" t="s">
        <v>875</v>
      </c>
      <c r="C715" s="34">
        <v>7585612</v>
      </c>
      <c r="D715" s="22"/>
      <c r="E715" s="24">
        <v>1.661</v>
      </c>
      <c r="F715" s="24"/>
      <c r="G715" s="24"/>
      <c r="H715" s="24"/>
      <c r="I715" s="24"/>
      <c r="J715" s="24"/>
      <c r="K715" s="24">
        <v>1.661</v>
      </c>
      <c r="L715" s="24"/>
      <c r="M715" s="24"/>
      <c r="N715" s="24"/>
      <c r="O715" s="24"/>
      <c r="P715" s="24"/>
      <c r="Q715" s="24"/>
      <c r="R715" s="24"/>
      <c r="S715" s="24"/>
      <c r="T715" s="22"/>
      <c r="U715" s="22"/>
    </row>
    <row r="716" spans="1:21" ht="22.5" hidden="1">
      <c r="A716" s="243"/>
      <c r="B716" s="33" t="s">
        <v>876</v>
      </c>
      <c r="C716" s="34">
        <v>7585603</v>
      </c>
      <c r="D716" s="22"/>
      <c r="E716" s="24">
        <v>1.633</v>
      </c>
      <c r="F716" s="24"/>
      <c r="G716" s="24"/>
      <c r="H716" s="24"/>
      <c r="I716" s="24"/>
      <c r="J716" s="24"/>
      <c r="K716" s="24"/>
      <c r="L716" s="24"/>
      <c r="M716" s="24"/>
      <c r="N716" s="24"/>
      <c r="O716" s="24">
        <v>1.633</v>
      </c>
      <c r="P716" s="24">
        <v>1.633</v>
      </c>
      <c r="Q716" s="24"/>
      <c r="R716" s="24"/>
      <c r="S716" s="24"/>
      <c r="T716" s="22"/>
      <c r="U716" s="22"/>
    </row>
    <row r="717" spans="1:21" hidden="1">
      <c r="A717" s="243"/>
      <c r="B717" s="33" t="s">
        <v>877</v>
      </c>
      <c r="C717" s="34">
        <v>7585599</v>
      </c>
      <c r="D717" s="22"/>
      <c r="E717" s="24">
        <v>1.633</v>
      </c>
      <c r="F717" s="24"/>
      <c r="G717" s="24"/>
      <c r="H717" s="24"/>
      <c r="I717" s="24"/>
      <c r="J717" s="24"/>
      <c r="K717" s="24"/>
      <c r="L717" s="24"/>
      <c r="M717" s="24"/>
      <c r="N717" s="24"/>
      <c r="O717" s="24">
        <v>1.633</v>
      </c>
      <c r="P717" s="24">
        <v>1.633</v>
      </c>
      <c r="Q717" s="24"/>
      <c r="R717" s="24"/>
      <c r="S717" s="24"/>
      <c r="T717" s="22"/>
      <c r="U717" s="22"/>
    </row>
    <row r="718" spans="1:21" ht="22.5" hidden="1">
      <c r="A718" s="243"/>
      <c r="B718" s="33" t="s">
        <v>878</v>
      </c>
      <c r="C718" s="34">
        <v>7447816</v>
      </c>
      <c r="D718" s="22"/>
      <c r="E718" s="24">
        <v>0.86499999999999999</v>
      </c>
      <c r="F718" s="24"/>
      <c r="G718" s="24"/>
      <c r="H718" s="24"/>
      <c r="I718" s="24"/>
      <c r="J718" s="24"/>
      <c r="K718" s="24"/>
      <c r="L718" s="24"/>
      <c r="M718" s="24"/>
      <c r="N718" s="24"/>
      <c r="O718" s="24">
        <v>0.86499999999999999</v>
      </c>
      <c r="P718" s="24">
        <v>0.86499999999999999</v>
      </c>
      <c r="Q718" s="24"/>
      <c r="R718" s="24"/>
      <c r="S718" s="24"/>
      <c r="T718" s="22"/>
      <c r="U718" s="22"/>
    </row>
    <row r="719" spans="1:21" s="41" customFormat="1" hidden="1">
      <c r="A719" s="37"/>
      <c r="B719" s="38" t="s">
        <v>283</v>
      </c>
      <c r="C719" s="38"/>
      <c r="D719" s="39">
        <v>6345</v>
      </c>
      <c r="E719" s="61">
        <v>6758.8860000000004</v>
      </c>
      <c r="F719" s="61">
        <v>0</v>
      </c>
      <c r="G719" s="61">
        <v>0</v>
      </c>
      <c r="H719" s="61">
        <v>0</v>
      </c>
      <c r="I719" s="61">
        <v>0</v>
      </c>
      <c r="J719" s="61">
        <v>0</v>
      </c>
      <c r="K719" s="61">
        <v>0</v>
      </c>
      <c r="L719" s="61">
        <v>0</v>
      </c>
      <c r="M719" s="61">
        <v>0</v>
      </c>
      <c r="N719" s="61">
        <v>51.158000000000001</v>
      </c>
      <c r="O719" s="61">
        <v>6707.7280000000001</v>
      </c>
      <c r="P719" s="61">
        <v>6707.7280000000001</v>
      </c>
      <c r="Q719" s="61">
        <v>0</v>
      </c>
      <c r="R719" s="61">
        <v>0</v>
      </c>
      <c r="S719" s="61">
        <v>0</v>
      </c>
      <c r="T719" s="39">
        <v>0</v>
      </c>
      <c r="U719" s="93"/>
    </row>
    <row r="720" spans="1:21" ht="33.75" hidden="1">
      <c r="A720" s="243"/>
      <c r="B720" s="140" t="s">
        <v>879</v>
      </c>
      <c r="C720" s="34">
        <v>7372067</v>
      </c>
      <c r="D720" s="44">
        <v>6345</v>
      </c>
      <c r="E720" s="24">
        <v>6252.7280000000001</v>
      </c>
      <c r="F720" s="24"/>
      <c r="G720" s="24"/>
      <c r="H720" s="24"/>
      <c r="I720" s="24"/>
      <c r="J720" s="24"/>
      <c r="K720" s="24"/>
      <c r="L720" s="24"/>
      <c r="M720" s="24"/>
      <c r="N720" s="24"/>
      <c r="O720" s="24">
        <v>6252.7280000000001</v>
      </c>
      <c r="P720" s="24">
        <v>6252.7280000000001</v>
      </c>
      <c r="Q720" s="24"/>
      <c r="R720" s="24"/>
      <c r="S720" s="24"/>
      <c r="T720" s="22"/>
      <c r="U720" s="22"/>
    </row>
    <row r="721" spans="1:21" ht="33.75" hidden="1">
      <c r="A721" s="243"/>
      <c r="B721" s="33" t="s">
        <v>880</v>
      </c>
      <c r="C721" s="51" t="s">
        <v>881</v>
      </c>
      <c r="D721" s="22"/>
      <c r="E721" s="24">
        <v>455</v>
      </c>
      <c r="F721" s="24"/>
      <c r="G721" s="24"/>
      <c r="H721" s="24"/>
      <c r="I721" s="24"/>
      <c r="J721" s="24"/>
      <c r="K721" s="24"/>
      <c r="L721" s="24"/>
      <c r="M721" s="24"/>
      <c r="N721" s="24"/>
      <c r="O721" s="24">
        <v>455</v>
      </c>
      <c r="P721" s="24">
        <v>455</v>
      </c>
      <c r="Q721" s="24"/>
      <c r="R721" s="24"/>
      <c r="S721" s="24"/>
      <c r="T721" s="22"/>
      <c r="U721" s="22"/>
    </row>
    <row r="722" spans="1:21" ht="22.5" hidden="1">
      <c r="A722" s="243"/>
      <c r="B722" s="33" t="s">
        <v>882</v>
      </c>
      <c r="C722" s="34">
        <v>7272910</v>
      </c>
      <c r="D722" s="22"/>
      <c r="E722" s="24">
        <v>51.158000000000001</v>
      </c>
      <c r="F722" s="24"/>
      <c r="G722" s="24"/>
      <c r="H722" s="24"/>
      <c r="I722" s="24"/>
      <c r="J722" s="24"/>
      <c r="K722" s="24"/>
      <c r="L722" s="24"/>
      <c r="M722" s="24"/>
      <c r="N722" s="24">
        <v>51.158000000000001</v>
      </c>
      <c r="O722" s="24"/>
      <c r="P722" s="24"/>
      <c r="Q722" s="24"/>
      <c r="R722" s="24"/>
      <c r="S722" s="24"/>
      <c r="T722" s="22"/>
      <c r="U722" s="22"/>
    </row>
    <row r="723" spans="1:21" s="41" customFormat="1" hidden="1">
      <c r="A723" s="37"/>
      <c r="B723" s="38" t="s">
        <v>309</v>
      </c>
      <c r="C723" s="38"/>
      <c r="D723" s="39">
        <v>22449</v>
      </c>
      <c r="E723" s="61">
        <v>8718.5419999999995</v>
      </c>
      <c r="F723" s="61">
        <v>7228.2560000000003</v>
      </c>
      <c r="G723" s="61">
        <v>0</v>
      </c>
      <c r="H723" s="61">
        <v>0</v>
      </c>
      <c r="I723" s="61">
        <v>0</v>
      </c>
      <c r="J723" s="61">
        <v>0</v>
      </c>
      <c r="K723" s="61">
        <v>0</v>
      </c>
      <c r="L723" s="61">
        <v>861.45600000000002</v>
      </c>
      <c r="M723" s="61">
        <v>0</v>
      </c>
      <c r="N723" s="61">
        <v>0</v>
      </c>
      <c r="O723" s="61">
        <v>72.230999999999995</v>
      </c>
      <c r="P723" s="61">
        <v>15.682</v>
      </c>
      <c r="Q723" s="61">
        <v>0</v>
      </c>
      <c r="R723" s="61">
        <v>556.59899999999993</v>
      </c>
      <c r="S723" s="61">
        <v>0</v>
      </c>
      <c r="T723" s="39">
        <v>0</v>
      </c>
      <c r="U723" s="93"/>
    </row>
    <row r="724" spans="1:21" hidden="1">
      <c r="A724" s="243"/>
      <c r="B724" s="33" t="s">
        <v>883</v>
      </c>
      <c r="C724" s="34">
        <v>7645139</v>
      </c>
      <c r="D724" s="44">
        <v>2880</v>
      </c>
      <c r="E724" s="24">
        <v>184.501</v>
      </c>
      <c r="F724" s="24">
        <v>184.501</v>
      </c>
      <c r="G724" s="24"/>
      <c r="H724" s="24"/>
      <c r="I724" s="24"/>
      <c r="J724" s="24"/>
      <c r="K724" s="24"/>
      <c r="L724" s="24"/>
      <c r="M724" s="24"/>
      <c r="N724" s="24"/>
      <c r="O724" s="24"/>
      <c r="P724" s="24"/>
      <c r="Q724" s="24"/>
      <c r="R724" s="24"/>
      <c r="S724" s="24"/>
      <c r="T724" s="22"/>
      <c r="U724" s="22"/>
    </row>
    <row r="725" spans="1:21" hidden="1">
      <c r="A725" s="243"/>
      <c r="B725" s="33" t="s">
        <v>884</v>
      </c>
      <c r="C725" s="34">
        <v>7645136</v>
      </c>
      <c r="D725" s="44">
        <v>1440</v>
      </c>
      <c r="E725" s="24">
        <v>180.38399999999999</v>
      </c>
      <c r="F725" s="24">
        <v>180.38399999999999</v>
      </c>
      <c r="G725" s="24"/>
      <c r="H725" s="24"/>
      <c r="I725" s="24"/>
      <c r="J725" s="24"/>
      <c r="K725" s="24"/>
      <c r="L725" s="24"/>
      <c r="M725" s="24"/>
      <c r="N725" s="24"/>
      <c r="O725" s="24"/>
      <c r="P725" s="24"/>
      <c r="Q725" s="24"/>
      <c r="R725" s="24"/>
      <c r="S725" s="24"/>
      <c r="T725" s="22"/>
      <c r="U725" s="22"/>
    </row>
    <row r="726" spans="1:21" hidden="1">
      <c r="A726" s="243"/>
      <c r="B726" s="33" t="s">
        <v>885</v>
      </c>
      <c r="C726" s="34">
        <v>7645135</v>
      </c>
      <c r="D726" s="44">
        <v>2880</v>
      </c>
      <c r="E726" s="24">
        <v>185.44499999999999</v>
      </c>
      <c r="F726" s="24">
        <v>185.44499999999999</v>
      </c>
      <c r="G726" s="24"/>
      <c r="H726" s="24"/>
      <c r="I726" s="24"/>
      <c r="J726" s="24"/>
      <c r="K726" s="24"/>
      <c r="L726" s="24"/>
      <c r="M726" s="24"/>
      <c r="N726" s="24"/>
      <c r="O726" s="24"/>
      <c r="P726" s="24"/>
      <c r="Q726" s="24"/>
      <c r="R726" s="24"/>
      <c r="S726" s="24"/>
      <c r="T726" s="22"/>
      <c r="U726" s="22"/>
    </row>
    <row r="727" spans="1:21" hidden="1">
      <c r="A727" s="243"/>
      <c r="B727" s="33" t="s">
        <v>886</v>
      </c>
      <c r="C727" s="34">
        <v>7645138</v>
      </c>
      <c r="D727" s="44">
        <v>1800</v>
      </c>
      <c r="E727" s="24">
        <v>103.22199999999999</v>
      </c>
      <c r="F727" s="24">
        <v>103.22199999999999</v>
      </c>
      <c r="G727" s="24"/>
      <c r="H727" s="24"/>
      <c r="I727" s="24"/>
      <c r="J727" s="24"/>
      <c r="K727" s="24"/>
      <c r="L727" s="24"/>
      <c r="M727" s="24"/>
      <c r="N727" s="24"/>
      <c r="O727" s="24"/>
      <c r="P727" s="24"/>
      <c r="Q727" s="24"/>
      <c r="R727" s="24"/>
      <c r="S727" s="24"/>
      <c r="T727" s="22"/>
      <c r="U727" s="22"/>
    </row>
    <row r="728" spans="1:21" hidden="1">
      <c r="A728" s="243"/>
      <c r="B728" s="33" t="s">
        <v>887</v>
      </c>
      <c r="C728" s="34">
        <v>7645137</v>
      </c>
      <c r="D728" s="44">
        <v>2700</v>
      </c>
      <c r="E728" s="24">
        <v>201.167</v>
      </c>
      <c r="F728" s="24">
        <v>201.167</v>
      </c>
      <c r="G728" s="24"/>
      <c r="H728" s="24"/>
      <c r="I728" s="24"/>
      <c r="J728" s="24"/>
      <c r="K728" s="24"/>
      <c r="L728" s="24"/>
      <c r="M728" s="24"/>
      <c r="N728" s="24"/>
      <c r="O728" s="24"/>
      <c r="P728" s="24"/>
      <c r="Q728" s="24"/>
      <c r="R728" s="24"/>
      <c r="S728" s="24"/>
      <c r="T728" s="22"/>
      <c r="U728" s="22"/>
    </row>
    <row r="729" spans="1:21" hidden="1">
      <c r="A729" s="243"/>
      <c r="B729" s="33" t="s">
        <v>888</v>
      </c>
      <c r="C729" s="34">
        <v>7645263</v>
      </c>
      <c r="D729" s="44">
        <v>1800</v>
      </c>
      <c r="E729" s="24">
        <v>101.67</v>
      </c>
      <c r="F729" s="24">
        <v>101.67</v>
      </c>
      <c r="G729" s="24"/>
      <c r="H729" s="24"/>
      <c r="I729" s="24"/>
      <c r="J729" s="24"/>
      <c r="K729" s="24"/>
      <c r="L729" s="24"/>
      <c r="M729" s="24"/>
      <c r="N729" s="24"/>
      <c r="O729" s="24"/>
      <c r="P729" s="24"/>
      <c r="Q729" s="24"/>
      <c r="R729" s="24"/>
      <c r="S729" s="24"/>
      <c r="T729" s="22"/>
      <c r="U729" s="22"/>
    </row>
    <row r="730" spans="1:21" ht="22.5" hidden="1">
      <c r="A730" s="243"/>
      <c r="B730" s="33" t="s">
        <v>889</v>
      </c>
      <c r="C730" s="34">
        <v>7627933</v>
      </c>
      <c r="D730" s="44">
        <v>2800</v>
      </c>
      <c r="E730" s="24">
        <v>2719</v>
      </c>
      <c r="F730" s="24">
        <v>2719</v>
      </c>
      <c r="G730" s="24"/>
      <c r="H730" s="24"/>
      <c r="I730" s="24"/>
      <c r="J730" s="24"/>
      <c r="K730" s="24"/>
      <c r="L730" s="24"/>
      <c r="M730" s="24"/>
      <c r="N730" s="24"/>
      <c r="O730" s="24"/>
      <c r="P730" s="24"/>
      <c r="Q730" s="24"/>
      <c r="R730" s="24"/>
      <c r="S730" s="24"/>
      <c r="T730" s="22"/>
      <c r="U730" s="22"/>
    </row>
    <row r="731" spans="1:21" ht="22.5" hidden="1">
      <c r="A731" s="243"/>
      <c r="B731" s="33" t="s">
        <v>890</v>
      </c>
      <c r="C731" s="34">
        <v>7568507</v>
      </c>
      <c r="D731" s="44">
        <v>1000</v>
      </c>
      <c r="E731" s="24">
        <v>861.45600000000002</v>
      </c>
      <c r="F731" s="24"/>
      <c r="G731" s="24"/>
      <c r="H731" s="24"/>
      <c r="I731" s="24"/>
      <c r="J731" s="24"/>
      <c r="K731" s="24"/>
      <c r="L731" s="24">
        <v>861.45600000000002</v>
      </c>
      <c r="M731" s="24"/>
      <c r="N731" s="24"/>
      <c r="O731" s="24"/>
      <c r="P731" s="24"/>
      <c r="Q731" s="24"/>
      <c r="R731" s="24"/>
      <c r="S731" s="24"/>
      <c r="T731" s="22"/>
      <c r="U731" s="22"/>
    </row>
    <row r="732" spans="1:21" ht="22.5" hidden="1">
      <c r="A732" s="243"/>
      <c r="B732" s="33" t="s">
        <v>891</v>
      </c>
      <c r="C732" s="34">
        <v>7641023</v>
      </c>
      <c r="D732" s="44">
        <v>1000</v>
      </c>
      <c r="E732" s="24">
        <v>56.548999999999999</v>
      </c>
      <c r="F732" s="24"/>
      <c r="G732" s="24"/>
      <c r="H732" s="24"/>
      <c r="I732" s="24"/>
      <c r="J732" s="24"/>
      <c r="K732" s="24"/>
      <c r="L732" s="24"/>
      <c r="M732" s="24"/>
      <c r="N732" s="24"/>
      <c r="O732" s="24">
        <v>56.548999999999999</v>
      </c>
      <c r="P732" s="24"/>
      <c r="Q732" s="24"/>
      <c r="R732" s="24"/>
      <c r="S732" s="24"/>
      <c r="T732" s="22"/>
      <c r="U732" s="22"/>
    </row>
    <row r="733" spans="1:21" ht="22.5" hidden="1">
      <c r="A733" s="243"/>
      <c r="B733" s="33" t="s">
        <v>892</v>
      </c>
      <c r="C733" s="34">
        <v>7566929</v>
      </c>
      <c r="D733" s="44">
        <v>2100</v>
      </c>
      <c r="E733" s="24">
        <v>2035</v>
      </c>
      <c r="F733" s="24">
        <v>2035</v>
      </c>
      <c r="G733" s="24"/>
      <c r="H733" s="24"/>
      <c r="I733" s="24"/>
      <c r="J733" s="24"/>
      <c r="K733" s="24"/>
      <c r="L733" s="24"/>
      <c r="M733" s="24"/>
      <c r="N733" s="24"/>
      <c r="O733" s="24"/>
      <c r="P733" s="24"/>
      <c r="Q733" s="24"/>
      <c r="R733" s="24"/>
      <c r="S733" s="24"/>
      <c r="T733" s="22"/>
      <c r="U733" s="22"/>
    </row>
    <row r="734" spans="1:21" ht="22.5" hidden="1">
      <c r="A734" s="243"/>
      <c r="B734" s="33" t="s">
        <v>893</v>
      </c>
      <c r="C734" s="34">
        <v>7640602</v>
      </c>
      <c r="D734" s="44">
        <v>683</v>
      </c>
      <c r="E734" s="24">
        <v>683</v>
      </c>
      <c r="F734" s="24">
        <v>683</v>
      </c>
      <c r="G734" s="24"/>
      <c r="H734" s="24"/>
      <c r="I734" s="24"/>
      <c r="J734" s="24"/>
      <c r="K734" s="24"/>
      <c r="L734" s="24"/>
      <c r="M734" s="24"/>
      <c r="N734" s="24"/>
      <c r="O734" s="24"/>
      <c r="P734" s="24"/>
      <c r="Q734" s="24"/>
      <c r="R734" s="24"/>
      <c r="S734" s="24"/>
      <c r="T734" s="22"/>
      <c r="U734" s="22"/>
    </row>
    <row r="735" spans="1:21" ht="22.5" hidden="1">
      <c r="A735" s="243"/>
      <c r="B735" s="33" t="s">
        <v>894</v>
      </c>
      <c r="C735" s="34">
        <v>7652447</v>
      </c>
      <c r="D735" s="44">
        <v>683</v>
      </c>
      <c r="E735" s="24">
        <v>683</v>
      </c>
      <c r="F735" s="24">
        <v>683</v>
      </c>
      <c r="G735" s="24"/>
      <c r="H735" s="24"/>
      <c r="I735" s="24"/>
      <c r="J735" s="24"/>
      <c r="K735" s="24"/>
      <c r="L735" s="24"/>
      <c r="M735" s="24"/>
      <c r="N735" s="24"/>
      <c r="O735" s="24"/>
      <c r="P735" s="24"/>
      <c r="Q735" s="24"/>
      <c r="R735" s="24"/>
      <c r="S735" s="24"/>
      <c r="T735" s="22"/>
      <c r="U735" s="22"/>
    </row>
    <row r="736" spans="1:21" ht="33.75" hidden="1">
      <c r="A736" s="243"/>
      <c r="B736" s="33" t="s">
        <v>895</v>
      </c>
      <c r="C736" s="34">
        <v>7631508</v>
      </c>
      <c r="D736" s="44">
        <v>683</v>
      </c>
      <c r="E736" s="24">
        <v>542.47799999999995</v>
      </c>
      <c r="F736" s="24"/>
      <c r="G736" s="24"/>
      <c r="H736" s="24"/>
      <c r="I736" s="24"/>
      <c r="J736" s="24"/>
      <c r="K736" s="24"/>
      <c r="L736" s="24"/>
      <c r="M736" s="24"/>
      <c r="N736" s="24"/>
      <c r="O736" s="24"/>
      <c r="P736" s="24"/>
      <c r="Q736" s="24"/>
      <c r="R736" s="24">
        <v>542.47799999999995</v>
      </c>
      <c r="S736" s="24"/>
      <c r="T736" s="22"/>
      <c r="U736" s="22"/>
    </row>
    <row r="737" spans="1:21" ht="22.5" hidden="1">
      <c r="A737" s="243"/>
      <c r="B737" s="166" t="s">
        <v>896</v>
      </c>
      <c r="C737" s="169" t="s">
        <v>897</v>
      </c>
      <c r="D737" s="22"/>
      <c r="E737" s="24">
        <v>6.9169999999999998</v>
      </c>
      <c r="F737" s="24">
        <v>6.9169999999999998</v>
      </c>
      <c r="G737" s="24"/>
      <c r="H737" s="24"/>
      <c r="I737" s="24"/>
      <c r="J737" s="24"/>
      <c r="K737" s="24"/>
      <c r="L737" s="24"/>
      <c r="M737" s="24"/>
      <c r="N737" s="24"/>
      <c r="O737" s="24"/>
      <c r="P737" s="24"/>
      <c r="Q737" s="24"/>
      <c r="R737" s="24"/>
      <c r="S737" s="24"/>
      <c r="T737" s="22"/>
      <c r="U737" s="22"/>
    </row>
    <row r="738" spans="1:21" ht="22.5" hidden="1">
      <c r="A738" s="243"/>
      <c r="B738" s="163" t="s">
        <v>898</v>
      </c>
      <c r="C738" s="169" t="s">
        <v>899</v>
      </c>
      <c r="D738" s="22"/>
      <c r="E738" s="24">
        <v>9.9830000000000005</v>
      </c>
      <c r="F738" s="24"/>
      <c r="G738" s="24"/>
      <c r="H738" s="24"/>
      <c r="I738" s="24"/>
      <c r="J738" s="24"/>
      <c r="K738" s="24"/>
      <c r="L738" s="24"/>
      <c r="M738" s="24"/>
      <c r="N738" s="24"/>
      <c r="O738" s="24">
        <v>9.9830000000000005</v>
      </c>
      <c r="P738" s="24">
        <v>9.9830000000000005</v>
      </c>
      <c r="Q738" s="24"/>
      <c r="R738" s="24"/>
      <c r="S738" s="24"/>
      <c r="T738" s="22"/>
      <c r="U738" s="22"/>
    </row>
    <row r="739" spans="1:21" ht="33.75" hidden="1">
      <c r="A739" s="243"/>
      <c r="B739" s="166" t="s">
        <v>900</v>
      </c>
      <c r="C739" s="34">
        <v>7582074</v>
      </c>
      <c r="D739" s="22"/>
      <c r="E739" s="24">
        <v>14.121</v>
      </c>
      <c r="F739" s="24"/>
      <c r="G739" s="24"/>
      <c r="H739" s="24"/>
      <c r="I739" s="24"/>
      <c r="J739" s="24"/>
      <c r="K739" s="24"/>
      <c r="L739" s="24"/>
      <c r="M739" s="24"/>
      <c r="N739" s="24"/>
      <c r="O739" s="24"/>
      <c r="P739" s="24"/>
      <c r="Q739" s="24"/>
      <c r="R739" s="24">
        <v>14.121</v>
      </c>
      <c r="S739" s="24"/>
      <c r="T739" s="22"/>
      <c r="U739" s="22"/>
    </row>
    <row r="740" spans="1:21" ht="22.5" hidden="1">
      <c r="A740" s="243"/>
      <c r="B740" s="163" t="s">
        <v>901</v>
      </c>
      <c r="C740" s="34">
        <v>7595968</v>
      </c>
      <c r="D740" s="22"/>
      <c r="E740" s="24">
        <v>5.6989999999999998</v>
      </c>
      <c r="F740" s="24"/>
      <c r="G740" s="24"/>
      <c r="H740" s="24"/>
      <c r="I740" s="24"/>
      <c r="J740" s="24"/>
      <c r="K740" s="24"/>
      <c r="L740" s="24"/>
      <c r="M740" s="24"/>
      <c r="N740" s="24"/>
      <c r="O740" s="24">
        <v>5.6989999999999998</v>
      </c>
      <c r="P740" s="24">
        <v>5.6989999999999998</v>
      </c>
      <c r="Q740" s="24"/>
      <c r="R740" s="24"/>
      <c r="S740" s="24"/>
      <c r="T740" s="22"/>
      <c r="U740" s="22"/>
    </row>
    <row r="741" spans="1:21" ht="45" hidden="1">
      <c r="A741" s="243"/>
      <c r="B741" s="163" t="s">
        <v>902</v>
      </c>
      <c r="C741" s="34">
        <v>7605361</v>
      </c>
      <c r="D741" s="22"/>
      <c r="E741" s="24">
        <v>144.94999999999999</v>
      </c>
      <c r="F741" s="24">
        <v>144.94999999999999</v>
      </c>
      <c r="G741" s="24"/>
      <c r="H741" s="24"/>
      <c r="I741" s="24"/>
      <c r="J741" s="24"/>
      <c r="K741" s="24"/>
      <c r="L741" s="24"/>
      <c r="M741" s="24"/>
      <c r="N741" s="24"/>
      <c r="O741" s="24"/>
      <c r="P741" s="24"/>
      <c r="Q741" s="24"/>
      <c r="R741" s="24"/>
      <c r="S741" s="24"/>
      <c r="T741" s="22"/>
      <c r="U741" s="22"/>
    </row>
    <row r="742" spans="1:21" s="41" customFormat="1">
      <c r="A742" s="91" t="s">
        <v>16</v>
      </c>
      <c r="B742" s="92" t="s">
        <v>287</v>
      </c>
      <c r="C742" s="92"/>
      <c r="D742" s="93">
        <v>2300</v>
      </c>
      <c r="E742" s="489">
        <v>3808</v>
      </c>
      <c r="F742" s="489">
        <v>0</v>
      </c>
      <c r="G742" s="489">
        <v>0</v>
      </c>
      <c r="H742" s="489">
        <v>0</v>
      </c>
      <c r="I742" s="489">
        <v>0</v>
      </c>
      <c r="J742" s="489">
        <v>0</v>
      </c>
      <c r="K742" s="489">
        <v>0</v>
      </c>
      <c r="L742" s="489">
        <v>0</v>
      </c>
      <c r="M742" s="489">
        <v>0</v>
      </c>
      <c r="N742" s="489">
        <v>0</v>
      </c>
      <c r="O742" s="489">
        <v>3808</v>
      </c>
      <c r="P742" s="489">
        <v>0</v>
      </c>
      <c r="Q742" s="489">
        <v>0</v>
      </c>
      <c r="R742" s="489">
        <v>0</v>
      </c>
      <c r="S742" s="489">
        <v>0</v>
      </c>
      <c r="T742" s="93">
        <v>0</v>
      </c>
      <c r="U742" s="93"/>
    </row>
    <row r="743" spans="1:21" ht="33.75" hidden="1">
      <c r="A743" s="243"/>
      <c r="B743" s="140" t="s">
        <v>879</v>
      </c>
      <c r="C743" s="34">
        <v>7372067</v>
      </c>
      <c r="D743" s="22">
        <v>2300</v>
      </c>
      <c r="E743" s="24">
        <v>2300</v>
      </c>
      <c r="F743" s="24"/>
      <c r="G743" s="24"/>
      <c r="H743" s="24"/>
      <c r="I743" s="24"/>
      <c r="J743" s="24"/>
      <c r="K743" s="24"/>
      <c r="L743" s="24"/>
      <c r="M743" s="24"/>
      <c r="N743" s="24"/>
      <c r="O743" s="24">
        <v>2300</v>
      </c>
      <c r="P743" s="24"/>
      <c r="Q743" s="24"/>
      <c r="R743" s="24"/>
      <c r="S743" s="24"/>
      <c r="T743" s="22"/>
      <c r="U743" s="22"/>
    </row>
    <row r="744" spans="1:21" ht="22.5" hidden="1">
      <c r="A744" s="243"/>
      <c r="B744" s="170" t="s">
        <v>903</v>
      </c>
      <c r="C744" s="36">
        <v>7393177</v>
      </c>
      <c r="D744" s="22"/>
      <c r="E744" s="24">
        <v>1508</v>
      </c>
      <c r="F744" s="24"/>
      <c r="G744" s="24"/>
      <c r="H744" s="24"/>
      <c r="I744" s="24"/>
      <c r="J744" s="24"/>
      <c r="K744" s="24"/>
      <c r="L744" s="24"/>
      <c r="M744" s="24"/>
      <c r="N744" s="24"/>
      <c r="O744" s="24">
        <v>1508</v>
      </c>
      <c r="P744" s="24"/>
      <c r="Q744" s="24"/>
      <c r="R744" s="24"/>
      <c r="S744" s="24"/>
      <c r="T744" s="22"/>
      <c r="U744" s="22"/>
    </row>
    <row r="745" spans="1:21">
      <c r="A745" s="243">
        <v>47</v>
      </c>
      <c r="B745" s="18" t="s">
        <v>904</v>
      </c>
      <c r="C745" s="18"/>
      <c r="D745" s="19">
        <v>36817.383999999998</v>
      </c>
      <c r="E745" s="124">
        <v>33950.738000000005</v>
      </c>
      <c r="F745" s="124">
        <v>6278.8670000000002</v>
      </c>
      <c r="G745" s="124">
        <v>0</v>
      </c>
      <c r="H745" s="124">
        <v>0</v>
      </c>
      <c r="I745" s="124">
        <v>0</v>
      </c>
      <c r="J745" s="124">
        <v>0</v>
      </c>
      <c r="K745" s="124">
        <v>0</v>
      </c>
      <c r="L745" s="124">
        <v>0</v>
      </c>
      <c r="M745" s="124">
        <v>0</v>
      </c>
      <c r="N745" s="124">
        <v>6578.2139999999999</v>
      </c>
      <c r="O745" s="124">
        <v>21093.656999999999</v>
      </c>
      <c r="P745" s="124">
        <v>14597.314</v>
      </c>
      <c r="Q745" s="124">
        <v>2830.241</v>
      </c>
      <c r="R745" s="124">
        <v>0</v>
      </c>
      <c r="S745" s="124">
        <v>0</v>
      </c>
      <c r="T745" s="19">
        <v>0</v>
      </c>
      <c r="U745" s="22"/>
    </row>
    <row r="746" spans="1:21" s="41" customFormat="1">
      <c r="A746" s="91" t="s">
        <v>16</v>
      </c>
      <c r="B746" s="92" t="s">
        <v>183</v>
      </c>
      <c r="C746" s="92"/>
      <c r="D746" s="93">
        <v>33705.383999999998</v>
      </c>
      <c r="E746" s="489">
        <v>33950.738000000005</v>
      </c>
      <c r="F746" s="489">
        <v>6278.8670000000002</v>
      </c>
      <c r="G746" s="489">
        <v>0</v>
      </c>
      <c r="H746" s="489">
        <v>0</v>
      </c>
      <c r="I746" s="489">
        <v>0</v>
      </c>
      <c r="J746" s="489">
        <v>0</v>
      </c>
      <c r="K746" s="489">
        <v>0</v>
      </c>
      <c r="L746" s="489">
        <v>0</v>
      </c>
      <c r="M746" s="489">
        <v>0</v>
      </c>
      <c r="N746" s="489">
        <v>6578.2139999999999</v>
      </c>
      <c r="O746" s="489">
        <v>21093.656999999999</v>
      </c>
      <c r="P746" s="489">
        <v>14597.314</v>
      </c>
      <c r="Q746" s="489">
        <v>2830.241</v>
      </c>
      <c r="R746" s="489">
        <v>0</v>
      </c>
      <c r="S746" s="489">
        <v>0</v>
      </c>
      <c r="T746" s="93">
        <v>0</v>
      </c>
      <c r="U746" s="93"/>
    </row>
    <row r="747" spans="1:21" s="41" customFormat="1" hidden="1">
      <c r="A747" s="37"/>
      <c r="B747" s="38" t="s">
        <v>294</v>
      </c>
      <c r="C747" s="38"/>
      <c r="D747" s="39">
        <v>12183.384</v>
      </c>
      <c r="E747" s="61">
        <v>11867.698000000002</v>
      </c>
      <c r="F747" s="61">
        <v>4778.8670000000002</v>
      </c>
      <c r="G747" s="61">
        <v>0</v>
      </c>
      <c r="H747" s="61">
        <v>0</v>
      </c>
      <c r="I747" s="61">
        <v>0</v>
      </c>
      <c r="J747" s="61">
        <v>0</v>
      </c>
      <c r="K747" s="61">
        <v>0</v>
      </c>
      <c r="L747" s="61">
        <v>0</v>
      </c>
      <c r="M747" s="61">
        <v>0</v>
      </c>
      <c r="N747" s="61">
        <v>0</v>
      </c>
      <c r="O747" s="61">
        <v>7088.8310000000001</v>
      </c>
      <c r="P747" s="61">
        <v>757.38800000000003</v>
      </c>
      <c r="Q747" s="61">
        <v>2830.241</v>
      </c>
      <c r="R747" s="61">
        <v>0</v>
      </c>
      <c r="S747" s="61">
        <v>0</v>
      </c>
      <c r="T747" s="39">
        <v>0</v>
      </c>
      <c r="U747" s="39"/>
    </row>
    <row r="748" spans="1:21" ht="22.5" hidden="1">
      <c r="A748" s="243"/>
      <c r="B748" s="33" t="s">
        <v>905</v>
      </c>
      <c r="C748" s="88">
        <v>7596695</v>
      </c>
      <c r="D748" s="22">
        <v>400</v>
      </c>
      <c r="E748" s="24">
        <v>400</v>
      </c>
      <c r="F748" s="24">
        <v>400</v>
      </c>
      <c r="G748" s="24"/>
      <c r="H748" s="24"/>
      <c r="I748" s="24"/>
      <c r="J748" s="24"/>
      <c r="K748" s="24"/>
      <c r="L748" s="24"/>
      <c r="M748" s="24"/>
      <c r="N748" s="24"/>
      <c r="O748" s="24"/>
      <c r="P748" s="24"/>
      <c r="Q748" s="24"/>
      <c r="R748" s="24"/>
      <c r="S748" s="24"/>
      <c r="T748" s="22"/>
      <c r="U748" s="22"/>
    </row>
    <row r="749" spans="1:21" ht="22.5" hidden="1">
      <c r="A749" s="243"/>
      <c r="B749" s="120" t="s">
        <v>906</v>
      </c>
      <c r="C749" s="88">
        <v>7571396</v>
      </c>
      <c r="D749" s="44">
        <v>1700</v>
      </c>
      <c r="E749" s="482">
        <v>1700</v>
      </c>
      <c r="F749" s="24">
        <v>1700</v>
      </c>
      <c r="G749" s="24"/>
      <c r="H749" s="24"/>
      <c r="I749" s="24"/>
      <c r="J749" s="24"/>
      <c r="K749" s="24"/>
      <c r="L749" s="24"/>
      <c r="M749" s="24"/>
      <c r="N749" s="24"/>
      <c r="O749" s="24"/>
      <c r="P749" s="24"/>
      <c r="Q749" s="24"/>
      <c r="R749" s="24"/>
      <c r="S749" s="24"/>
      <c r="T749" s="22"/>
      <c r="U749" s="22"/>
    </row>
    <row r="750" spans="1:21" ht="33.75" hidden="1">
      <c r="A750" s="243"/>
      <c r="B750" s="120" t="s">
        <v>907</v>
      </c>
      <c r="C750" s="88">
        <v>7615892</v>
      </c>
      <c r="D750" s="44">
        <v>900</v>
      </c>
      <c r="E750" s="482">
        <v>900</v>
      </c>
      <c r="F750" s="24">
        <v>900</v>
      </c>
      <c r="G750" s="24"/>
      <c r="H750" s="24"/>
      <c r="I750" s="24"/>
      <c r="J750" s="24"/>
      <c r="K750" s="24"/>
      <c r="L750" s="24"/>
      <c r="M750" s="24"/>
      <c r="N750" s="24"/>
      <c r="O750" s="24"/>
      <c r="P750" s="24"/>
      <c r="Q750" s="24"/>
      <c r="R750" s="24"/>
      <c r="S750" s="24"/>
      <c r="T750" s="22"/>
      <c r="U750" s="22"/>
    </row>
    <row r="751" spans="1:21" ht="33.75" hidden="1">
      <c r="A751" s="243"/>
      <c r="B751" s="120" t="s">
        <v>908</v>
      </c>
      <c r="C751" s="88">
        <v>7615889</v>
      </c>
      <c r="D751" s="44">
        <v>700</v>
      </c>
      <c r="E751" s="482">
        <v>515.45899999999995</v>
      </c>
      <c r="F751" s="24">
        <v>515.45899999999995</v>
      </c>
      <c r="G751" s="24"/>
      <c r="H751" s="24"/>
      <c r="I751" s="24"/>
      <c r="J751" s="24"/>
      <c r="K751" s="24"/>
      <c r="L751" s="24"/>
      <c r="M751" s="24"/>
      <c r="N751" s="24"/>
      <c r="O751" s="24"/>
      <c r="P751" s="24"/>
      <c r="Q751" s="24"/>
      <c r="R751" s="24"/>
      <c r="S751" s="24"/>
      <c r="T751" s="22"/>
      <c r="U751" s="22"/>
    </row>
    <row r="752" spans="1:21" ht="33.75" hidden="1">
      <c r="A752" s="243"/>
      <c r="B752" s="120" t="s">
        <v>909</v>
      </c>
      <c r="C752" s="88">
        <v>7615890</v>
      </c>
      <c r="D752" s="44">
        <v>700</v>
      </c>
      <c r="E752" s="482">
        <v>563.40800000000002</v>
      </c>
      <c r="F752" s="24">
        <v>563.40800000000002</v>
      </c>
      <c r="G752" s="24"/>
      <c r="H752" s="24"/>
      <c r="I752" s="24"/>
      <c r="J752" s="24"/>
      <c r="K752" s="24"/>
      <c r="L752" s="24"/>
      <c r="M752" s="24"/>
      <c r="N752" s="24"/>
      <c r="O752" s="24"/>
      <c r="P752" s="24"/>
      <c r="Q752" s="24"/>
      <c r="R752" s="24"/>
      <c r="S752" s="24"/>
      <c r="T752" s="22"/>
      <c r="U752" s="22"/>
    </row>
    <row r="753" spans="1:21" hidden="1">
      <c r="A753" s="243"/>
      <c r="B753" s="120" t="s">
        <v>910</v>
      </c>
      <c r="C753" s="88">
        <v>7615891</v>
      </c>
      <c r="D753" s="44">
        <v>700</v>
      </c>
      <c r="E753" s="482">
        <v>700</v>
      </c>
      <c r="F753" s="24">
        <v>700</v>
      </c>
      <c r="G753" s="24"/>
      <c r="H753" s="24"/>
      <c r="I753" s="24"/>
      <c r="J753" s="24"/>
      <c r="K753" s="24"/>
      <c r="L753" s="24"/>
      <c r="M753" s="24"/>
      <c r="N753" s="24"/>
      <c r="O753" s="24"/>
      <c r="P753" s="24"/>
      <c r="Q753" s="24"/>
      <c r="R753" s="24"/>
      <c r="S753" s="24"/>
      <c r="T753" s="22"/>
      <c r="U753" s="22"/>
    </row>
    <row r="754" spans="1:21" ht="22.5" hidden="1">
      <c r="A754" s="243"/>
      <c r="B754" s="49" t="s">
        <v>911</v>
      </c>
      <c r="C754" s="88">
        <v>7009202</v>
      </c>
      <c r="D754" s="44">
        <v>613.38400000000001</v>
      </c>
      <c r="E754" s="482">
        <v>613.38400000000001</v>
      </c>
      <c r="F754" s="24"/>
      <c r="G754" s="24"/>
      <c r="H754" s="24"/>
      <c r="I754" s="24"/>
      <c r="J754" s="24"/>
      <c r="K754" s="24"/>
      <c r="L754" s="24"/>
      <c r="M754" s="24"/>
      <c r="N754" s="24"/>
      <c r="O754" s="482">
        <v>613.38400000000001</v>
      </c>
      <c r="P754" s="24"/>
      <c r="Q754" s="482">
        <v>613.38400000000001</v>
      </c>
      <c r="R754" s="24"/>
      <c r="S754" s="24"/>
      <c r="T754" s="22"/>
      <c r="U754" s="22"/>
    </row>
    <row r="755" spans="1:21" ht="22.5" hidden="1">
      <c r="A755" s="243"/>
      <c r="B755" s="49" t="s">
        <v>912</v>
      </c>
      <c r="C755" s="88">
        <v>7009204</v>
      </c>
      <c r="D755" s="44">
        <v>1020</v>
      </c>
      <c r="E755" s="482">
        <v>1005.857</v>
      </c>
      <c r="F755" s="24"/>
      <c r="G755" s="24"/>
      <c r="H755" s="24"/>
      <c r="I755" s="24"/>
      <c r="J755" s="24"/>
      <c r="K755" s="24"/>
      <c r="L755" s="24"/>
      <c r="M755" s="24"/>
      <c r="N755" s="24"/>
      <c r="O755" s="482">
        <v>1005.857</v>
      </c>
      <c r="P755" s="24"/>
      <c r="Q755" s="482">
        <v>1005.857</v>
      </c>
      <c r="R755" s="24"/>
      <c r="S755" s="24"/>
      <c r="T755" s="22"/>
      <c r="U755" s="22"/>
    </row>
    <row r="756" spans="1:21" ht="22.5" hidden="1">
      <c r="A756" s="243"/>
      <c r="B756" s="49" t="s">
        <v>913</v>
      </c>
      <c r="C756" s="88">
        <v>7305399</v>
      </c>
      <c r="D756" s="44">
        <v>1211</v>
      </c>
      <c r="E756" s="482">
        <v>1211</v>
      </c>
      <c r="F756" s="24"/>
      <c r="G756" s="24"/>
      <c r="H756" s="24"/>
      <c r="I756" s="24"/>
      <c r="J756" s="24"/>
      <c r="K756" s="24"/>
      <c r="L756" s="24"/>
      <c r="M756" s="24"/>
      <c r="N756" s="24"/>
      <c r="O756" s="482">
        <v>1211</v>
      </c>
      <c r="P756" s="24"/>
      <c r="Q756" s="482">
        <v>1211</v>
      </c>
      <c r="R756" s="24"/>
      <c r="S756" s="24"/>
      <c r="T756" s="22"/>
      <c r="U756" s="22"/>
    </row>
    <row r="757" spans="1:21" hidden="1">
      <c r="A757" s="243"/>
      <c r="B757" s="49" t="s">
        <v>914</v>
      </c>
      <c r="C757" s="88">
        <v>7328722</v>
      </c>
      <c r="D757" s="22">
        <v>3500</v>
      </c>
      <c r="E757" s="24">
        <v>3501.2020000000002</v>
      </c>
      <c r="F757" s="24"/>
      <c r="G757" s="24"/>
      <c r="H757" s="24"/>
      <c r="I757" s="24"/>
      <c r="J757" s="24"/>
      <c r="K757" s="24"/>
      <c r="L757" s="24"/>
      <c r="M757" s="24"/>
      <c r="N757" s="24"/>
      <c r="O757" s="24">
        <v>3501.2020000000002</v>
      </c>
      <c r="P757" s="24"/>
      <c r="Q757" s="24"/>
      <c r="R757" s="24"/>
      <c r="S757" s="24"/>
      <c r="T757" s="22"/>
      <c r="U757" s="22"/>
    </row>
    <row r="758" spans="1:21" ht="22.5" hidden="1">
      <c r="A758" s="243"/>
      <c r="B758" s="49" t="s">
        <v>915</v>
      </c>
      <c r="C758" s="88">
        <v>7332677</v>
      </c>
      <c r="D758" s="22">
        <v>739</v>
      </c>
      <c r="E758" s="24">
        <v>739</v>
      </c>
      <c r="F758" s="24"/>
      <c r="G758" s="24"/>
      <c r="H758" s="24"/>
      <c r="I758" s="24"/>
      <c r="J758" s="24"/>
      <c r="K758" s="24"/>
      <c r="L758" s="24"/>
      <c r="M758" s="24"/>
      <c r="N758" s="24"/>
      <c r="O758" s="24">
        <v>739</v>
      </c>
      <c r="P758" s="24">
        <v>739</v>
      </c>
      <c r="Q758" s="24"/>
      <c r="R758" s="24"/>
      <c r="S758" s="24"/>
      <c r="T758" s="22"/>
      <c r="U758" s="22"/>
    </row>
    <row r="759" spans="1:21" hidden="1">
      <c r="A759" s="243"/>
      <c r="B759" s="33" t="s">
        <v>916</v>
      </c>
      <c r="C759" s="34">
        <v>7143074</v>
      </c>
      <c r="D759" s="22"/>
      <c r="E759" s="24">
        <v>18.388000000000002</v>
      </c>
      <c r="F759" s="24"/>
      <c r="G759" s="24"/>
      <c r="H759" s="24"/>
      <c r="I759" s="24"/>
      <c r="J759" s="24"/>
      <c r="K759" s="24"/>
      <c r="L759" s="24"/>
      <c r="M759" s="24"/>
      <c r="N759" s="24"/>
      <c r="O759" s="24">
        <v>18.388000000000002</v>
      </c>
      <c r="P759" s="24">
        <v>18.388000000000002</v>
      </c>
      <c r="Q759" s="24"/>
      <c r="R759" s="24"/>
      <c r="S759" s="24"/>
      <c r="T759" s="22"/>
      <c r="U759" s="22"/>
    </row>
    <row r="760" spans="1:21" s="41" customFormat="1" hidden="1">
      <c r="A760" s="37"/>
      <c r="B760" s="38" t="s">
        <v>281</v>
      </c>
      <c r="C760" s="38"/>
      <c r="D760" s="39">
        <v>1500</v>
      </c>
      <c r="E760" s="61">
        <v>1500</v>
      </c>
      <c r="F760" s="61">
        <v>1500</v>
      </c>
      <c r="G760" s="61">
        <v>0</v>
      </c>
      <c r="H760" s="61">
        <v>0</v>
      </c>
      <c r="I760" s="61">
        <v>0</v>
      </c>
      <c r="J760" s="61">
        <v>0</v>
      </c>
      <c r="K760" s="61">
        <v>0</v>
      </c>
      <c r="L760" s="61">
        <v>0</v>
      </c>
      <c r="M760" s="61">
        <v>0</v>
      </c>
      <c r="N760" s="61">
        <v>0</v>
      </c>
      <c r="O760" s="61">
        <v>0</v>
      </c>
      <c r="P760" s="61">
        <v>0</v>
      </c>
      <c r="Q760" s="61">
        <v>0</v>
      </c>
      <c r="R760" s="61">
        <v>0</v>
      </c>
      <c r="S760" s="61">
        <v>0</v>
      </c>
      <c r="T760" s="39">
        <v>0</v>
      </c>
      <c r="U760" s="93"/>
    </row>
    <row r="761" spans="1:21" ht="22.5" hidden="1">
      <c r="A761" s="243"/>
      <c r="B761" s="33" t="s">
        <v>917</v>
      </c>
      <c r="C761" s="122">
        <v>7615892</v>
      </c>
      <c r="D761" s="22">
        <v>400</v>
      </c>
      <c r="E761" s="24">
        <v>400</v>
      </c>
      <c r="F761" s="24">
        <v>400</v>
      </c>
      <c r="G761" s="24"/>
      <c r="H761" s="24"/>
      <c r="I761" s="24"/>
      <c r="J761" s="24"/>
      <c r="K761" s="24"/>
      <c r="L761" s="24"/>
      <c r="M761" s="24"/>
      <c r="N761" s="24"/>
      <c r="O761" s="24"/>
      <c r="P761" s="24"/>
      <c r="Q761" s="24"/>
      <c r="R761" s="24"/>
      <c r="S761" s="24"/>
      <c r="T761" s="22"/>
      <c r="U761" s="22"/>
    </row>
    <row r="762" spans="1:21" ht="33.75" hidden="1">
      <c r="A762" s="243"/>
      <c r="B762" s="33" t="s">
        <v>908</v>
      </c>
      <c r="C762" s="122">
        <v>7615889</v>
      </c>
      <c r="D762" s="22">
        <v>400</v>
      </c>
      <c r="E762" s="24">
        <v>400</v>
      </c>
      <c r="F762" s="24">
        <v>400</v>
      </c>
      <c r="G762" s="24"/>
      <c r="H762" s="24"/>
      <c r="I762" s="24"/>
      <c r="J762" s="24"/>
      <c r="K762" s="24"/>
      <c r="L762" s="24"/>
      <c r="M762" s="24"/>
      <c r="N762" s="24"/>
      <c r="O762" s="24"/>
      <c r="P762" s="24"/>
      <c r="Q762" s="24"/>
      <c r="R762" s="24"/>
      <c r="S762" s="24"/>
      <c r="T762" s="22"/>
      <c r="U762" s="22"/>
    </row>
    <row r="763" spans="1:21" ht="33.75" hidden="1">
      <c r="A763" s="243"/>
      <c r="B763" s="33" t="s">
        <v>909</v>
      </c>
      <c r="C763" s="122">
        <v>7615890</v>
      </c>
      <c r="D763" s="22">
        <v>400</v>
      </c>
      <c r="E763" s="24">
        <v>400</v>
      </c>
      <c r="F763" s="24">
        <v>400</v>
      </c>
      <c r="G763" s="24"/>
      <c r="H763" s="24"/>
      <c r="I763" s="24"/>
      <c r="J763" s="24"/>
      <c r="K763" s="24"/>
      <c r="L763" s="24"/>
      <c r="M763" s="24"/>
      <c r="N763" s="24"/>
      <c r="O763" s="24"/>
      <c r="P763" s="24"/>
      <c r="Q763" s="24"/>
      <c r="R763" s="24"/>
      <c r="S763" s="24"/>
      <c r="T763" s="22"/>
      <c r="U763" s="22"/>
    </row>
    <row r="764" spans="1:21" hidden="1">
      <c r="A764" s="243"/>
      <c r="B764" s="33" t="s">
        <v>910</v>
      </c>
      <c r="C764" s="122">
        <v>7615891</v>
      </c>
      <c r="D764" s="22">
        <v>300</v>
      </c>
      <c r="E764" s="24">
        <v>300</v>
      </c>
      <c r="F764" s="24">
        <v>300</v>
      </c>
      <c r="G764" s="24"/>
      <c r="H764" s="24"/>
      <c r="I764" s="24"/>
      <c r="J764" s="24"/>
      <c r="K764" s="24"/>
      <c r="L764" s="24"/>
      <c r="M764" s="24"/>
      <c r="N764" s="24"/>
      <c r="O764" s="24"/>
      <c r="P764" s="24"/>
      <c r="Q764" s="24"/>
      <c r="R764" s="24"/>
      <c r="S764" s="24"/>
      <c r="T764" s="22"/>
      <c r="U764" s="22"/>
    </row>
    <row r="765" spans="1:21" s="41" customFormat="1" hidden="1">
      <c r="A765" s="37"/>
      <c r="B765" s="38" t="s">
        <v>283</v>
      </c>
      <c r="C765" s="38"/>
      <c r="D765" s="39">
        <v>20022</v>
      </c>
      <c r="E765" s="61">
        <v>20583.04</v>
      </c>
      <c r="F765" s="61">
        <v>0</v>
      </c>
      <c r="G765" s="61">
        <v>0</v>
      </c>
      <c r="H765" s="61">
        <v>0</v>
      </c>
      <c r="I765" s="61">
        <v>0</v>
      </c>
      <c r="J765" s="61">
        <v>0</v>
      </c>
      <c r="K765" s="61">
        <v>0</v>
      </c>
      <c r="L765" s="61">
        <v>0</v>
      </c>
      <c r="M765" s="61">
        <v>0</v>
      </c>
      <c r="N765" s="61">
        <v>6578.2139999999999</v>
      </c>
      <c r="O765" s="61">
        <v>14004.825999999999</v>
      </c>
      <c r="P765" s="61">
        <v>13839.925999999999</v>
      </c>
      <c r="Q765" s="61">
        <v>0</v>
      </c>
      <c r="R765" s="61">
        <v>0</v>
      </c>
      <c r="S765" s="61">
        <v>0</v>
      </c>
      <c r="T765" s="39">
        <v>0</v>
      </c>
      <c r="U765" s="93"/>
    </row>
    <row r="766" spans="1:21" ht="22.5" hidden="1">
      <c r="A766" s="243"/>
      <c r="B766" s="82" t="s">
        <v>918</v>
      </c>
      <c r="C766" s="47">
        <v>7518120</v>
      </c>
      <c r="D766" s="44">
        <v>13140</v>
      </c>
      <c r="E766" s="24">
        <v>13832.103999999999</v>
      </c>
      <c r="F766" s="24"/>
      <c r="G766" s="24"/>
      <c r="H766" s="24"/>
      <c r="I766" s="24"/>
      <c r="J766" s="24"/>
      <c r="K766" s="24"/>
      <c r="L766" s="24"/>
      <c r="M766" s="24"/>
      <c r="N766" s="24"/>
      <c r="O766" s="24">
        <v>13832.103999999999</v>
      </c>
      <c r="P766" s="24">
        <v>13832.103999999999</v>
      </c>
      <c r="Q766" s="24"/>
      <c r="R766" s="24"/>
      <c r="S766" s="24"/>
      <c r="T766" s="22"/>
      <c r="U766" s="22"/>
    </row>
    <row r="767" spans="1:21" ht="33.75" hidden="1">
      <c r="A767" s="243"/>
      <c r="B767" s="171" t="s">
        <v>919</v>
      </c>
      <c r="C767" s="105" t="s">
        <v>920</v>
      </c>
      <c r="D767" s="22">
        <v>6882</v>
      </c>
      <c r="E767" s="24">
        <v>6578.2139999999999</v>
      </c>
      <c r="F767" s="24"/>
      <c r="G767" s="24"/>
      <c r="H767" s="24"/>
      <c r="I767" s="24"/>
      <c r="J767" s="24"/>
      <c r="K767" s="24"/>
      <c r="L767" s="24"/>
      <c r="M767" s="24"/>
      <c r="N767" s="24">
        <v>6578.2139999999999</v>
      </c>
      <c r="O767" s="24"/>
      <c r="P767" s="24"/>
      <c r="Q767" s="24"/>
      <c r="R767" s="24"/>
      <c r="S767" s="24"/>
      <c r="T767" s="22"/>
      <c r="U767" s="22"/>
    </row>
    <row r="768" spans="1:21" ht="33.75" hidden="1">
      <c r="A768" s="243"/>
      <c r="B768" s="33" t="s">
        <v>921</v>
      </c>
      <c r="C768" s="34">
        <v>7259828</v>
      </c>
      <c r="D768" s="22"/>
      <c r="E768" s="24">
        <v>7.8220000000000001</v>
      </c>
      <c r="F768" s="24"/>
      <c r="G768" s="24"/>
      <c r="H768" s="24"/>
      <c r="I768" s="24"/>
      <c r="J768" s="24"/>
      <c r="K768" s="24"/>
      <c r="L768" s="24"/>
      <c r="M768" s="24"/>
      <c r="N768" s="24"/>
      <c r="O768" s="24">
        <v>7.8220000000000001</v>
      </c>
      <c r="P768" s="24">
        <v>7.8220000000000001</v>
      </c>
      <c r="Q768" s="24"/>
      <c r="R768" s="24"/>
      <c r="S768" s="24"/>
      <c r="T768" s="22"/>
      <c r="U768" s="22"/>
    </row>
    <row r="769" spans="1:21" hidden="1">
      <c r="A769" s="243"/>
      <c r="B769" s="33" t="s">
        <v>914</v>
      </c>
      <c r="C769" s="34">
        <v>7328722</v>
      </c>
      <c r="D769" s="22"/>
      <c r="E769" s="482">
        <v>164.9</v>
      </c>
      <c r="F769" s="24"/>
      <c r="G769" s="24"/>
      <c r="H769" s="24"/>
      <c r="I769" s="24"/>
      <c r="J769" s="24"/>
      <c r="K769" s="24"/>
      <c r="L769" s="24"/>
      <c r="M769" s="24"/>
      <c r="N769" s="24"/>
      <c r="O769" s="482">
        <v>164.9</v>
      </c>
      <c r="P769" s="24"/>
      <c r="Q769" s="24"/>
      <c r="R769" s="24"/>
      <c r="S769" s="24"/>
      <c r="T769" s="22"/>
      <c r="U769" s="22"/>
    </row>
    <row r="770" spans="1:21" s="41" customFormat="1">
      <c r="A770" s="91" t="s">
        <v>16</v>
      </c>
      <c r="B770" s="92" t="s">
        <v>287</v>
      </c>
      <c r="C770" s="92"/>
      <c r="D770" s="93">
        <v>3112</v>
      </c>
      <c r="E770" s="489">
        <v>0</v>
      </c>
      <c r="F770" s="489">
        <v>0</v>
      </c>
      <c r="G770" s="489">
        <v>0</v>
      </c>
      <c r="H770" s="489">
        <v>0</v>
      </c>
      <c r="I770" s="489">
        <v>0</v>
      </c>
      <c r="J770" s="489">
        <v>0</v>
      </c>
      <c r="K770" s="489">
        <v>0</v>
      </c>
      <c r="L770" s="489">
        <v>0</v>
      </c>
      <c r="M770" s="489">
        <v>0</v>
      </c>
      <c r="N770" s="489">
        <v>0</v>
      </c>
      <c r="O770" s="489">
        <v>0</v>
      </c>
      <c r="P770" s="489">
        <v>0</v>
      </c>
      <c r="Q770" s="489">
        <v>0</v>
      </c>
      <c r="R770" s="489">
        <v>0</v>
      </c>
      <c r="S770" s="489">
        <v>0</v>
      </c>
      <c r="T770" s="93">
        <v>0</v>
      </c>
      <c r="U770" s="93"/>
    </row>
    <row r="771" spans="1:21" ht="33.75" hidden="1">
      <c r="A771" s="243"/>
      <c r="B771" s="171" t="s">
        <v>919</v>
      </c>
      <c r="C771" s="105" t="s">
        <v>920</v>
      </c>
      <c r="D771" s="22">
        <v>3112</v>
      </c>
      <c r="E771" s="24">
        <v>0</v>
      </c>
      <c r="F771" s="24"/>
      <c r="G771" s="24"/>
      <c r="H771" s="24"/>
      <c r="I771" s="24"/>
      <c r="J771" s="24"/>
      <c r="K771" s="24"/>
      <c r="L771" s="24"/>
      <c r="M771" s="24"/>
      <c r="N771" s="24"/>
      <c r="O771" s="24"/>
      <c r="P771" s="24"/>
      <c r="Q771" s="24"/>
      <c r="R771" s="24"/>
      <c r="S771" s="24"/>
      <c r="T771" s="22"/>
      <c r="U771" s="22"/>
    </row>
    <row r="772" spans="1:21">
      <c r="A772" s="243">
        <v>48</v>
      </c>
      <c r="B772" s="18" t="s">
        <v>922</v>
      </c>
      <c r="C772" s="18"/>
      <c r="D772" s="19">
        <v>87646.620999999999</v>
      </c>
      <c r="E772" s="124">
        <v>47349.073000000004</v>
      </c>
      <c r="F772" s="124">
        <v>6831.5310000000009</v>
      </c>
      <c r="G772" s="124">
        <v>0</v>
      </c>
      <c r="H772" s="124">
        <v>0</v>
      </c>
      <c r="I772" s="124">
        <v>0</v>
      </c>
      <c r="J772" s="124">
        <v>200</v>
      </c>
      <c r="K772" s="124">
        <v>0</v>
      </c>
      <c r="L772" s="124">
        <v>0</v>
      </c>
      <c r="M772" s="124">
        <v>0</v>
      </c>
      <c r="N772" s="124">
        <v>0</v>
      </c>
      <c r="O772" s="124">
        <v>37847.541999999994</v>
      </c>
      <c r="P772" s="124">
        <v>12536.050999999999</v>
      </c>
      <c r="Q772" s="124">
        <v>5333.0720000000001</v>
      </c>
      <c r="R772" s="124">
        <v>2470</v>
      </c>
      <c r="S772" s="124">
        <v>0</v>
      </c>
      <c r="T772" s="19">
        <v>0</v>
      </c>
      <c r="U772" s="22"/>
    </row>
    <row r="773" spans="1:21" s="41" customFormat="1">
      <c r="A773" s="91" t="s">
        <v>16</v>
      </c>
      <c r="B773" s="92" t="s">
        <v>183</v>
      </c>
      <c r="C773" s="92"/>
      <c r="D773" s="93">
        <v>53646.620999999999</v>
      </c>
      <c r="E773" s="489">
        <v>47349.073000000004</v>
      </c>
      <c r="F773" s="489">
        <v>6831.5310000000009</v>
      </c>
      <c r="G773" s="489">
        <v>0</v>
      </c>
      <c r="H773" s="489">
        <v>0</v>
      </c>
      <c r="I773" s="489">
        <v>0</v>
      </c>
      <c r="J773" s="489">
        <v>200</v>
      </c>
      <c r="K773" s="489">
        <v>0</v>
      </c>
      <c r="L773" s="489">
        <v>0</v>
      </c>
      <c r="M773" s="489">
        <v>0</v>
      </c>
      <c r="N773" s="489">
        <v>0</v>
      </c>
      <c r="O773" s="489">
        <v>37847.541999999994</v>
      </c>
      <c r="P773" s="489">
        <v>12536.050999999999</v>
      </c>
      <c r="Q773" s="489">
        <v>5333.0720000000001</v>
      </c>
      <c r="R773" s="489">
        <v>2470</v>
      </c>
      <c r="S773" s="489">
        <v>0</v>
      </c>
      <c r="T773" s="93">
        <v>0</v>
      </c>
      <c r="U773" s="93"/>
    </row>
    <row r="774" spans="1:21" s="46" customFormat="1" hidden="1">
      <c r="A774" s="37"/>
      <c r="B774" s="38" t="s">
        <v>294</v>
      </c>
      <c r="C774" s="38"/>
      <c r="D774" s="39">
        <v>21594.620999999999</v>
      </c>
      <c r="E774" s="61">
        <v>21617.86</v>
      </c>
      <c r="F774" s="61">
        <v>4884.991</v>
      </c>
      <c r="G774" s="61">
        <v>0</v>
      </c>
      <c r="H774" s="61">
        <v>0</v>
      </c>
      <c r="I774" s="61">
        <v>0</v>
      </c>
      <c r="J774" s="61">
        <v>0</v>
      </c>
      <c r="K774" s="61">
        <v>0</v>
      </c>
      <c r="L774" s="61">
        <v>0</v>
      </c>
      <c r="M774" s="61">
        <v>0</v>
      </c>
      <c r="N774" s="61">
        <v>0</v>
      </c>
      <c r="O774" s="61">
        <v>14262.868999999999</v>
      </c>
      <c r="P774" s="61">
        <v>4507.0889999999999</v>
      </c>
      <c r="Q774" s="61">
        <v>114.008</v>
      </c>
      <c r="R774" s="61">
        <v>2470</v>
      </c>
      <c r="S774" s="61">
        <v>0</v>
      </c>
      <c r="T774" s="39">
        <v>0</v>
      </c>
      <c r="U774" s="39">
        <v>0</v>
      </c>
    </row>
    <row r="775" spans="1:21" ht="22.5" hidden="1">
      <c r="A775" s="243"/>
      <c r="B775" s="144" t="s">
        <v>923</v>
      </c>
      <c r="C775" s="47">
        <v>7581421</v>
      </c>
      <c r="D775" s="44">
        <v>1500</v>
      </c>
      <c r="E775" s="482">
        <v>1384.991</v>
      </c>
      <c r="F775" s="24">
        <v>1384.991</v>
      </c>
      <c r="G775" s="24"/>
      <c r="H775" s="24"/>
      <c r="I775" s="24"/>
      <c r="J775" s="24"/>
      <c r="K775" s="24"/>
      <c r="L775" s="24"/>
      <c r="M775" s="24"/>
      <c r="N775" s="24"/>
      <c r="O775" s="24"/>
      <c r="P775" s="24"/>
      <c r="Q775" s="24"/>
      <c r="R775" s="24"/>
      <c r="S775" s="24"/>
      <c r="T775" s="22"/>
      <c r="U775" s="22"/>
    </row>
    <row r="776" spans="1:21" hidden="1">
      <c r="A776" s="243"/>
      <c r="B776" s="144" t="s">
        <v>924</v>
      </c>
      <c r="C776" s="47">
        <v>7581420</v>
      </c>
      <c r="D776" s="44">
        <v>2000</v>
      </c>
      <c r="E776" s="482">
        <v>2000</v>
      </c>
      <c r="F776" s="24">
        <v>2000</v>
      </c>
      <c r="G776" s="24"/>
      <c r="H776" s="24"/>
      <c r="I776" s="24"/>
      <c r="J776" s="24"/>
      <c r="K776" s="24"/>
      <c r="L776" s="24"/>
      <c r="M776" s="24"/>
      <c r="N776" s="24"/>
      <c r="O776" s="24"/>
      <c r="P776" s="24"/>
      <c r="Q776" s="24"/>
      <c r="R776" s="24"/>
      <c r="S776" s="24"/>
      <c r="T776" s="22"/>
      <c r="U776" s="22"/>
    </row>
    <row r="777" spans="1:21" hidden="1">
      <c r="A777" s="243"/>
      <c r="B777" s="144" t="s">
        <v>925</v>
      </c>
      <c r="C777" s="88">
        <v>7624516</v>
      </c>
      <c r="D777" s="44">
        <v>500</v>
      </c>
      <c r="E777" s="482">
        <v>500</v>
      </c>
      <c r="F777" s="24">
        <v>500</v>
      </c>
      <c r="G777" s="24"/>
      <c r="H777" s="24"/>
      <c r="I777" s="24"/>
      <c r="J777" s="24"/>
      <c r="K777" s="24"/>
      <c r="L777" s="24"/>
      <c r="M777" s="24"/>
      <c r="N777" s="24"/>
      <c r="O777" s="24"/>
      <c r="P777" s="24"/>
      <c r="Q777" s="24"/>
      <c r="R777" s="24"/>
      <c r="S777" s="24"/>
      <c r="T777" s="22"/>
      <c r="U777" s="22"/>
    </row>
    <row r="778" spans="1:21" hidden="1">
      <c r="A778" s="243"/>
      <c r="B778" s="144" t="s">
        <v>926</v>
      </c>
      <c r="C778" s="88">
        <v>7624561</v>
      </c>
      <c r="D778" s="44">
        <v>500</v>
      </c>
      <c r="E778" s="482">
        <v>500</v>
      </c>
      <c r="F778" s="24">
        <v>500</v>
      </c>
      <c r="G778" s="24"/>
      <c r="H778" s="24"/>
      <c r="I778" s="24"/>
      <c r="J778" s="24"/>
      <c r="K778" s="24"/>
      <c r="L778" s="24"/>
      <c r="M778" s="24"/>
      <c r="N778" s="24"/>
      <c r="O778" s="24"/>
      <c r="P778" s="24"/>
      <c r="Q778" s="24"/>
      <c r="R778" s="24"/>
      <c r="S778" s="24"/>
      <c r="T778" s="22"/>
      <c r="U778" s="22"/>
    </row>
    <row r="779" spans="1:21" hidden="1">
      <c r="A779" s="243"/>
      <c r="B779" s="144" t="s">
        <v>927</v>
      </c>
      <c r="C779" s="88">
        <v>7630138</v>
      </c>
      <c r="D779" s="44">
        <v>500</v>
      </c>
      <c r="E779" s="482">
        <v>500</v>
      </c>
      <c r="F779" s="24">
        <v>500</v>
      </c>
      <c r="G779" s="24"/>
      <c r="H779" s="24"/>
      <c r="I779" s="24"/>
      <c r="J779" s="24"/>
      <c r="K779" s="24"/>
      <c r="L779" s="24"/>
      <c r="M779" s="24"/>
      <c r="N779" s="24"/>
      <c r="O779" s="24"/>
      <c r="P779" s="24"/>
      <c r="Q779" s="24"/>
      <c r="R779" s="24"/>
      <c r="S779" s="24"/>
      <c r="T779" s="22"/>
      <c r="U779" s="22"/>
    </row>
    <row r="780" spans="1:21" ht="45" hidden="1">
      <c r="A780" s="243"/>
      <c r="B780" s="104" t="s">
        <v>928</v>
      </c>
      <c r="C780" s="105" t="s">
        <v>929</v>
      </c>
      <c r="D780" s="44">
        <v>1654.6210000000001</v>
      </c>
      <c r="E780" s="482">
        <v>1654.6210000000001</v>
      </c>
      <c r="F780" s="24"/>
      <c r="G780" s="24"/>
      <c r="H780" s="24"/>
      <c r="I780" s="24"/>
      <c r="J780" s="24"/>
      <c r="K780" s="24"/>
      <c r="L780" s="24"/>
      <c r="M780" s="24"/>
      <c r="N780" s="24"/>
      <c r="O780" s="482">
        <v>1654.6210000000001</v>
      </c>
      <c r="P780" s="24"/>
      <c r="Q780" s="24"/>
      <c r="R780" s="24"/>
      <c r="S780" s="24"/>
      <c r="T780" s="22"/>
      <c r="U780" s="22"/>
    </row>
    <row r="781" spans="1:21" hidden="1">
      <c r="A781" s="243"/>
      <c r="B781" s="49" t="s">
        <v>930</v>
      </c>
      <c r="C781" s="88">
        <v>7492760</v>
      </c>
      <c r="D781" s="22">
        <v>2100</v>
      </c>
      <c r="E781" s="24">
        <v>2100</v>
      </c>
      <c r="F781" s="24"/>
      <c r="G781" s="24"/>
      <c r="H781" s="24"/>
      <c r="I781" s="24"/>
      <c r="J781" s="24"/>
      <c r="K781" s="24"/>
      <c r="L781" s="24"/>
      <c r="M781" s="24"/>
      <c r="N781" s="24"/>
      <c r="O781" s="24">
        <v>2100</v>
      </c>
      <c r="P781" s="24"/>
      <c r="Q781" s="24"/>
      <c r="R781" s="24"/>
      <c r="S781" s="24"/>
      <c r="T781" s="22"/>
      <c r="U781" s="22"/>
    </row>
    <row r="782" spans="1:21" hidden="1">
      <c r="A782" s="243"/>
      <c r="B782" s="49" t="s">
        <v>931</v>
      </c>
      <c r="C782" s="88">
        <v>7398858</v>
      </c>
      <c r="D782" s="44">
        <v>116.73699999999999</v>
      </c>
      <c r="E782" s="482">
        <v>116.04</v>
      </c>
      <c r="F782" s="24"/>
      <c r="G782" s="24"/>
      <c r="H782" s="24"/>
      <c r="I782" s="24"/>
      <c r="J782" s="24"/>
      <c r="K782" s="24"/>
      <c r="L782" s="24"/>
      <c r="M782" s="24"/>
      <c r="N782" s="24"/>
      <c r="O782" s="482">
        <v>116.04</v>
      </c>
      <c r="P782" s="24"/>
      <c r="Q782" s="24"/>
      <c r="R782" s="24"/>
      <c r="S782" s="24"/>
      <c r="T782" s="22"/>
      <c r="U782" s="22"/>
    </row>
    <row r="783" spans="1:21" ht="33.75" hidden="1">
      <c r="A783" s="243"/>
      <c r="B783" s="49" t="s">
        <v>932</v>
      </c>
      <c r="C783" s="88">
        <v>7445351</v>
      </c>
      <c r="D783" s="44">
        <v>883.26300000000003</v>
      </c>
      <c r="E783" s="482">
        <v>874.32899999999995</v>
      </c>
      <c r="F783" s="24"/>
      <c r="G783" s="24"/>
      <c r="H783" s="24"/>
      <c r="I783" s="24"/>
      <c r="J783" s="24"/>
      <c r="K783" s="24"/>
      <c r="L783" s="24"/>
      <c r="M783" s="24"/>
      <c r="N783" s="24"/>
      <c r="O783" s="482">
        <v>874.32899999999995</v>
      </c>
      <c r="P783" s="24"/>
      <c r="Q783" s="24"/>
      <c r="R783" s="24"/>
      <c r="S783" s="24"/>
      <c r="T783" s="22"/>
      <c r="U783" s="22"/>
    </row>
    <row r="784" spans="1:21" hidden="1">
      <c r="A784" s="243"/>
      <c r="B784" s="49" t="s">
        <v>933</v>
      </c>
      <c r="C784" s="88">
        <v>7616275</v>
      </c>
      <c r="D784" s="22">
        <v>1000</v>
      </c>
      <c r="E784" s="24">
        <v>1000</v>
      </c>
      <c r="F784" s="24"/>
      <c r="G784" s="24"/>
      <c r="H784" s="24"/>
      <c r="I784" s="24"/>
      <c r="J784" s="24"/>
      <c r="K784" s="24"/>
      <c r="L784" s="24"/>
      <c r="M784" s="24"/>
      <c r="N784" s="24"/>
      <c r="O784" s="24">
        <v>1000</v>
      </c>
      <c r="P784" s="24"/>
      <c r="Q784" s="24"/>
      <c r="R784" s="24"/>
      <c r="S784" s="24"/>
      <c r="T784" s="22"/>
      <c r="U784" s="22"/>
    </row>
    <row r="785" spans="1:21" ht="22.5" hidden="1">
      <c r="A785" s="243"/>
      <c r="B785" s="49" t="s">
        <v>934</v>
      </c>
      <c r="C785" s="105">
        <v>7468232</v>
      </c>
      <c r="D785" s="22">
        <v>3470</v>
      </c>
      <c r="E785" s="24">
        <v>3470</v>
      </c>
      <c r="F785" s="24"/>
      <c r="G785" s="24"/>
      <c r="H785" s="24"/>
      <c r="I785" s="24"/>
      <c r="J785" s="24"/>
      <c r="K785" s="24"/>
      <c r="L785" s="24"/>
      <c r="M785" s="24"/>
      <c r="N785" s="24"/>
      <c r="O785" s="24">
        <v>3470</v>
      </c>
      <c r="P785" s="24">
        <v>3470</v>
      </c>
      <c r="Q785" s="24"/>
      <c r="R785" s="24"/>
      <c r="S785" s="24"/>
      <c r="T785" s="22"/>
      <c r="U785" s="22"/>
    </row>
    <row r="786" spans="1:21" ht="22.5" hidden="1">
      <c r="A786" s="243"/>
      <c r="B786" s="49" t="s">
        <v>935</v>
      </c>
      <c r="C786" s="88">
        <v>7409701</v>
      </c>
      <c r="D786" s="22">
        <v>500</v>
      </c>
      <c r="E786" s="24">
        <v>500</v>
      </c>
      <c r="F786" s="24"/>
      <c r="G786" s="24"/>
      <c r="H786" s="24"/>
      <c r="I786" s="24"/>
      <c r="J786" s="24"/>
      <c r="K786" s="24"/>
      <c r="L786" s="24"/>
      <c r="M786" s="24"/>
      <c r="N786" s="24"/>
      <c r="O786" s="24">
        <v>500</v>
      </c>
      <c r="P786" s="24"/>
      <c r="Q786" s="24"/>
      <c r="R786" s="24"/>
      <c r="S786" s="24"/>
      <c r="T786" s="22"/>
      <c r="U786" s="22"/>
    </row>
    <row r="787" spans="1:21" ht="33.75" hidden="1">
      <c r="A787" s="243"/>
      <c r="B787" s="33" t="s">
        <v>936</v>
      </c>
      <c r="C787" s="88">
        <v>7427121</v>
      </c>
      <c r="D787" s="22">
        <v>1000</v>
      </c>
      <c r="E787" s="24">
        <v>1000</v>
      </c>
      <c r="F787" s="24"/>
      <c r="G787" s="24"/>
      <c r="H787" s="24"/>
      <c r="I787" s="24"/>
      <c r="J787" s="24"/>
      <c r="K787" s="24"/>
      <c r="L787" s="24"/>
      <c r="M787" s="24"/>
      <c r="N787" s="24"/>
      <c r="O787" s="24">
        <v>1000</v>
      </c>
      <c r="P787" s="24">
        <v>1000</v>
      </c>
      <c r="Q787" s="24"/>
      <c r="R787" s="24"/>
      <c r="S787" s="24"/>
      <c r="T787" s="22"/>
      <c r="U787" s="22"/>
    </row>
    <row r="788" spans="1:21" ht="22.5" hidden="1">
      <c r="A788" s="243"/>
      <c r="B788" s="33" t="s">
        <v>937</v>
      </c>
      <c r="C788" s="34">
        <v>7663685</v>
      </c>
      <c r="D788" s="22"/>
      <c r="E788" s="24">
        <v>114.008</v>
      </c>
      <c r="F788" s="24"/>
      <c r="G788" s="24"/>
      <c r="H788" s="24"/>
      <c r="I788" s="24"/>
      <c r="J788" s="24"/>
      <c r="K788" s="24"/>
      <c r="L788" s="24"/>
      <c r="M788" s="24"/>
      <c r="N788" s="24"/>
      <c r="O788" s="24">
        <v>114.008</v>
      </c>
      <c r="P788" s="24"/>
      <c r="Q788" s="24">
        <v>114.008</v>
      </c>
      <c r="R788" s="24"/>
      <c r="S788" s="24"/>
      <c r="T788" s="22"/>
      <c r="U788" s="22"/>
    </row>
    <row r="789" spans="1:21" hidden="1">
      <c r="A789" s="243"/>
      <c r="B789" s="49" t="s">
        <v>938</v>
      </c>
      <c r="C789" s="88">
        <v>7429780</v>
      </c>
      <c r="D789" s="44">
        <v>2900</v>
      </c>
      <c r="E789" s="24">
        <v>2900</v>
      </c>
      <c r="F789" s="24"/>
      <c r="G789" s="24"/>
      <c r="H789" s="24"/>
      <c r="I789" s="24"/>
      <c r="J789" s="24"/>
      <c r="K789" s="24"/>
      <c r="L789" s="24"/>
      <c r="M789" s="24"/>
      <c r="N789" s="24"/>
      <c r="O789" s="24">
        <v>2900</v>
      </c>
      <c r="P789" s="24"/>
      <c r="Q789" s="24"/>
      <c r="R789" s="24"/>
      <c r="S789" s="24"/>
      <c r="T789" s="22"/>
      <c r="U789" s="22"/>
    </row>
    <row r="790" spans="1:21" ht="33.75" hidden="1">
      <c r="A790" s="243"/>
      <c r="B790" s="136" t="s">
        <v>939</v>
      </c>
      <c r="C790" s="123">
        <v>7429303</v>
      </c>
      <c r="D790" s="44">
        <v>2470</v>
      </c>
      <c r="E790" s="24">
        <v>2470</v>
      </c>
      <c r="F790" s="24"/>
      <c r="G790" s="24"/>
      <c r="H790" s="24"/>
      <c r="I790" s="24"/>
      <c r="J790" s="24"/>
      <c r="K790" s="24"/>
      <c r="L790" s="24"/>
      <c r="M790" s="24"/>
      <c r="N790" s="24"/>
      <c r="O790" s="24"/>
      <c r="P790" s="24"/>
      <c r="Q790" s="24"/>
      <c r="R790" s="24">
        <v>2470</v>
      </c>
      <c r="S790" s="24"/>
      <c r="T790" s="22"/>
      <c r="U790" s="22"/>
    </row>
    <row r="791" spans="1:21" ht="67.5" hidden="1">
      <c r="A791" s="243"/>
      <c r="B791" s="33" t="s">
        <v>940</v>
      </c>
      <c r="C791" s="123">
        <v>7429788</v>
      </c>
      <c r="D791" s="44">
        <v>500</v>
      </c>
      <c r="E791" s="24">
        <v>496.78199999999998</v>
      </c>
      <c r="F791" s="24"/>
      <c r="G791" s="24"/>
      <c r="H791" s="24"/>
      <c r="I791" s="24"/>
      <c r="J791" s="24"/>
      <c r="K791" s="24"/>
      <c r="L791" s="24"/>
      <c r="M791" s="24"/>
      <c r="N791" s="24"/>
      <c r="O791" s="24">
        <v>496.78199999999998</v>
      </c>
      <c r="P791" s="24"/>
      <c r="Q791" s="24"/>
      <c r="R791" s="24"/>
      <c r="S791" s="24"/>
      <c r="T791" s="22"/>
      <c r="U791" s="22"/>
    </row>
    <row r="792" spans="1:21" ht="33.75" hidden="1">
      <c r="A792" s="243"/>
      <c r="B792" s="33" t="s">
        <v>941</v>
      </c>
      <c r="C792" s="34">
        <v>7306009</v>
      </c>
      <c r="D792" s="22"/>
      <c r="E792" s="24">
        <v>37.088999999999999</v>
      </c>
      <c r="F792" s="24"/>
      <c r="G792" s="24"/>
      <c r="H792" s="24"/>
      <c r="I792" s="24"/>
      <c r="J792" s="24"/>
      <c r="K792" s="24"/>
      <c r="L792" s="24"/>
      <c r="M792" s="24"/>
      <c r="N792" s="24"/>
      <c r="O792" s="24">
        <v>37.088999999999999</v>
      </c>
      <c r="P792" s="24">
        <v>37.088999999999999</v>
      </c>
      <c r="Q792" s="24"/>
      <c r="R792" s="24"/>
      <c r="S792" s="24"/>
      <c r="T792" s="22"/>
      <c r="U792" s="22"/>
    </row>
    <row r="793" spans="1:21" s="41" customFormat="1" hidden="1">
      <c r="A793" s="37"/>
      <c r="B793" s="38" t="s">
        <v>281</v>
      </c>
      <c r="C793" s="38"/>
      <c r="D793" s="39">
        <v>3000</v>
      </c>
      <c r="E793" s="61">
        <v>1700</v>
      </c>
      <c r="F793" s="61">
        <v>1500</v>
      </c>
      <c r="G793" s="61">
        <v>0</v>
      </c>
      <c r="H793" s="61">
        <v>0</v>
      </c>
      <c r="I793" s="61">
        <v>0</v>
      </c>
      <c r="J793" s="61">
        <v>200</v>
      </c>
      <c r="K793" s="61">
        <v>0</v>
      </c>
      <c r="L793" s="61">
        <v>0</v>
      </c>
      <c r="M793" s="61">
        <v>0</v>
      </c>
      <c r="N793" s="61">
        <v>0</v>
      </c>
      <c r="O793" s="61">
        <v>0</v>
      </c>
      <c r="P793" s="61">
        <v>0</v>
      </c>
      <c r="Q793" s="61">
        <v>0</v>
      </c>
      <c r="R793" s="61">
        <v>0</v>
      </c>
      <c r="S793" s="61">
        <v>0</v>
      </c>
      <c r="T793" s="39">
        <v>0</v>
      </c>
      <c r="U793" s="93"/>
    </row>
    <row r="794" spans="1:21" ht="22.5" hidden="1">
      <c r="A794" s="243"/>
      <c r="B794" s="139" t="s">
        <v>942</v>
      </c>
      <c r="C794" s="172">
        <v>7625918</v>
      </c>
      <c r="D794" s="22">
        <v>1500</v>
      </c>
      <c r="E794" s="24">
        <v>200</v>
      </c>
      <c r="F794" s="24"/>
      <c r="G794" s="24"/>
      <c r="H794" s="24"/>
      <c r="I794" s="24"/>
      <c r="J794" s="24">
        <v>200</v>
      </c>
      <c r="K794" s="24"/>
      <c r="L794" s="24"/>
      <c r="M794" s="24"/>
      <c r="N794" s="24"/>
      <c r="O794" s="24"/>
      <c r="P794" s="24"/>
      <c r="Q794" s="24"/>
      <c r="R794" s="24"/>
      <c r="S794" s="24"/>
      <c r="T794" s="22"/>
      <c r="U794" s="22"/>
    </row>
    <row r="795" spans="1:21" hidden="1">
      <c r="A795" s="243"/>
      <c r="B795" s="33" t="s">
        <v>925</v>
      </c>
      <c r="C795" s="34">
        <v>7624516</v>
      </c>
      <c r="D795" s="22">
        <v>600</v>
      </c>
      <c r="E795" s="24">
        <v>600</v>
      </c>
      <c r="F795" s="24">
        <v>600</v>
      </c>
      <c r="G795" s="24"/>
      <c r="H795" s="24"/>
      <c r="I795" s="24"/>
      <c r="J795" s="24"/>
      <c r="K795" s="24"/>
      <c r="L795" s="24"/>
      <c r="M795" s="24"/>
      <c r="N795" s="24"/>
      <c r="O795" s="24"/>
      <c r="P795" s="24"/>
      <c r="Q795" s="24"/>
      <c r="R795" s="24"/>
      <c r="S795" s="24"/>
      <c r="T795" s="22"/>
      <c r="U795" s="22"/>
    </row>
    <row r="796" spans="1:21" hidden="1">
      <c r="A796" s="243"/>
      <c r="B796" s="33" t="s">
        <v>926</v>
      </c>
      <c r="C796" s="34">
        <v>7624561</v>
      </c>
      <c r="D796" s="22">
        <v>500</v>
      </c>
      <c r="E796" s="24">
        <v>500</v>
      </c>
      <c r="F796" s="24">
        <v>500</v>
      </c>
      <c r="G796" s="24"/>
      <c r="H796" s="24"/>
      <c r="I796" s="24"/>
      <c r="J796" s="24"/>
      <c r="K796" s="24"/>
      <c r="L796" s="24"/>
      <c r="M796" s="24"/>
      <c r="N796" s="24"/>
      <c r="O796" s="24"/>
      <c r="P796" s="24"/>
      <c r="Q796" s="24"/>
      <c r="R796" s="24"/>
      <c r="S796" s="24"/>
      <c r="T796" s="22"/>
      <c r="U796" s="22"/>
    </row>
    <row r="797" spans="1:21" hidden="1">
      <c r="A797" s="243"/>
      <c r="B797" s="33" t="s">
        <v>927</v>
      </c>
      <c r="C797" s="34">
        <v>7630138</v>
      </c>
      <c r="D797" s="22">
        <v>400</v>
      </c>
      <c r="E797" s="24">
        <v>400</v>
      </c>
      <c r="F797" s="24">
        <v>400</v>
      </c>
      <c r="G797" s="24"/>
      <c r="H797" s="24"/>
      <c r="I797" s="24"/>
      <c r="J797" s="24"/>
      <c r="K797" s="24"/>
      <c r="L797" s="24"/>
      <c r="M797" s="24"/>
      <c r="N797" s="24"/>
      <c r="O797" s="24"/>
      <c r="P797" s="24"/>
      <c r="Q797" s="24"/>
      <c r="R797" s="24"/>
      <c r="S797" s="24"/>
      <c r="T797" s="22"/>
      <c r="U797" s="22"/>
    </row>
    <row r="798" spans="1:21" s="41" customFormat="1" hidden="1">
      <c r="A798" s="37"/>
      <c r="B798" s="38" t="s">
        <v>282</v>
      </c>
      <c r="C798" s="38"/>
      <c r="D798" s="39">
        <v>0</v>
      </c>
      <c r="E798" s="61">
        <v>3415.1959999999999</v>
      </c>
      <c r="F798" s="61">
        <v>0</v>
      </c>
      <c r="G798" s="61">
        <v>0</v>
      </c>
      <c r="H798" s="61">
        <v>0</v>
      </c>
      <c r="I798" s="61">
        <v>0</v>
      </c>
      <c r="J798" s="61">
        <v>0</v>
      </c>
      <c r="K798" s="61">
        <v>0</v>
      </c>
      <c r="L798" s="61">
        <v>0</v>
      </c>
      <c r="M798" s="61">
        <v>0</v>
      </c>
      <c r="N798" s="61">
        <v>0</v>
      </c>
      <c r="O798" s="61">
        <v>3415.1959999999999</v>
      </c>
      <c r="P798" s="61">
        <v>0</v>
      </c>
      <c r="Q798" s="61">
        <v>0</v>
      </c>
      <c r="R798" s="61">
        <v>0</v>
      </c>
      <c r="S798" s="61">
        <v>0</v>
      </c>
      <c r="T798" s="39">
        <v>0</v>
      </c>
      <c r="U798" s="39">
        <v>0</v>
      </c>
    </row>
    <row r="799" spans="1:21" ht="22.5" hidden="1">
      <c r="A799" s="243"/>
      <c r="B799" s="33" t="s">
        <v>943</v>
      </c>
      <c r="C799" s="34">
        <v>7429780</v>
      </c>
      <c r="D799" s="22"/>
      <c r="E799" s="24">
        <v>3415.1959999999999</v>
      </c>
      <c r="F799" s="24"/>
      <c r="G799" s="24"/>
      <c r="H799" s="24"/>
      <c r="I799" s="24"/>
      <c r="J799" s="24"/>
      <c r="K799" s="24"/>
      <c r="L799" s="24"/>
      <c r="M799" s="24"/>
      <c r="N799" s="24"/>
      <c r="O799" s="24">
        <v>3415.1959999999999</v>
      </c>
      <c r="P799" s="24"/>
      <c r="Q799" s="24"/>
      <c r="R799" s="24"/>
      <c r="S799" s="24"/>
      <c r="T799" s="22"/>
      <c r="U799" s="22"/>
    </row>
    <row r="800" spans="1:21" s="41" customFormat="1" ht="22.5" hidden="1">
      <c r="A800" s="37"/>
      <c r="B800" s="38" t="s">
        <v>707</v>
      </c>
      <c r="C800" s="38"/>
      <c r="D800" s="39">
        <v>0</v>
      </c>
      <c r="E800" s="61">
        <v>1278.4929999999999</v>
      </c>
      <c r="F800" s="61">
        <v>227.81</v>
      </c>
      <c r="G800" s="61">
        <v>0</v>
      </c>
      <c r="H800" s="61">
        <v>0</v>
      </c>
      <c r="I800" s="61">
        <v>0</v>
      </c>
      <c r="J800" s="61">
        <v>0</v>
      </c>
      <c r="K800" s="61">
        <v>0</v>
      </c>
      <c r="L800" s="61">
        <v>0</v>
      </c>
      <c r="M800" s="61">
        <v>0</v>
      </c>
      <c r="N800" s="61">
        <v>0</v>
      </c>
      <c r="O800" s="61">
        <v>1050.683</v>
      </c>
      <c r="P800" s="61">
        <v>1050.683</v>
      </c>
      <c r="Q800" s="61">
        <v>0</v>
      </c>
      <c r="R800" s="61">
        <v>0</v>
      </c>
      <c r="S800" s="61">
        <v>0</v>
      </c>
      <c r="T800" s="39">
        <v>0</v>
      </c>
      <c r="U800" s="93"/>
    </row>
    <row r="801" spans="1:21" ht="22.5" hidden="1">
      <c r="A801" s="243"/>
      <c r="B801" s="33" t="s">
        <v>944</v>
      </c>
      <c r="C801" s="34">
        <v>7588110</v>
      </c>
      <c r="D801" s="22"/>
      <c r="E801" s="24">
        <v>227.81</v>
      </c>
      <c r="F801" s="24">
        <v>227.81</v>
      </c>
      <c r="G801" s="24"/>
      <c r="H801" s="24"/>
      <c r="I801" s="24"/>
      <c r="J801" s="24"/>
      <c r="K801" s="24"/>
      <c r="L801" s="24"/>
      <c r="M801" s="24"/>
      <c r="N801" s="24"/>
      <c r="O801" s="24"/>
      <c r="P801" s="24"/>
      <c r="Q801" s="24"/>
      <c r="R801" s="24"/>
      <c r="S801" s="24"/>
      <c r="T801" s="22"/>
      <c r="U801" s="22"/>
    </row>
    <row r="802" spans="1:21" ht="22.5" hidden="1">
      <c r="A802" s="243"/>
      <c r="B802" s="33" t="s">
        <v>945</v>
      </c>
      <c r="C802" s="34">
        <v>7596223</v>
      </c>
      <c r="D802" s="22"/>
      <c r="E802" s="24">
        <v>800.68299999999999</v>
      </c>
      <c r="F802" s="24"/>
      <c r="G802" s="24"/>
      <c r="H802" s="24"/>
      <c r="I802" s="24"/>
      <c r="J802" s="24"/>
      <c r="K802" s="24"/>
      <c r="L802" s="24"/>
      <c r="M802" s="24"/>
      <c r="N802" s="24"/>
      <c r="O802" s="24">
        <v>800.68299999999999</v>
      </c>
      <c r="P802" s="24">
        <v>800.68299999999999</v>
      </c>
      <c r="Q802" s="24"/>
      <c r="R802" s="24"/>
      <c r="S802" s="24"/>
      <c r="T802" s="22"/>
      <c r="U802" s="22"/>
    </row>
    <row r="803" spans="1:21" s="27" customFormat="1" hidden="1">
      <c r="A803" s="243"/>
      <c r="B803" s="33" t="s">
        <v>946</v>
      </c>
      <c r="C803" s="34">
        <v>7598375</v>
      </c>
      <c r="D803" s="19"/>
      <c r="E803" s="24">
        <v>250</v>
      </c>
      <c r="F803" s="124"/>
      <c r="G803" s="124"/>
      <c r="H803" s="124"/>
      <c r="I803" s="124"/>
      <c r="J803" s="124"/>
      <c r="K803" s="124"/>
      <c r="L803" s="124"/>
      <c r="M803" s="124"/>
      <c r="N803" s="124"/>
      <c r="O803" s="24">
        <v>250</v>
      </c>
      <c r="P803" s="24">
        <v>250</v>
      </c>
      <c r="Q803" s="124"/>
      <c r="R803" s="124"/>
      <c r="S803" s="124"/>
      <c r="T803" s="19"/>
      <c r="U803" s="19"/>
    </row>
    <row r="804" spans="1:21" s="41" customFormat="1" hidden="1">
      <c r="A804" s="37"/>
      <c r="B804" s="38" t="s">
        <v>283</v>
      </c>
      <c r="C804" s="38"/>
      <c r="D804" s="39">
        <v>14867</v>
      </c>
      <c r="E804" s="61">
        <v>18434.113999999998</v>
      </c>
      <c r="F804" s="61">
        <v>0</v>
      </c>
      <c r="G804" s="61">
        <v>0</v>
      </c>
      <c r="H804" s="61">
        <v>0</v>
      </c>
      <c r="I804" s="61">
        <v>0</v>
      </c>
      <c r="J804" s="61">
        <v>0</v>
      </c>
      <c r="K804" s="61">
        <v>0</v>
      </c>
      <c r="L804" s="61">
        <v>0</v>
      </c>
      <c r="M804" s="61">
        <v>0</v>
      </c>
      <c r="N804" s="61">
        <v>0</v>
      </c>
      <c r="O804" s="61">
        <v>18434.113999999998</v>
      </c>
      <c r="P804" s="61">
        <v>6978.2789999999995</v>
      </c>
      <c r="Q804" s="61">
        <v>5219.0640000000003</v>
      </c>
      <c r="R804" s="61">
        <v>0</v>
      </c>
      <c r="S804" s="61">
        <v>0</v>
      </c>
      <c r="T804" s="39">
        <v>0</v>
      </c>
      <c r="U804" s="93"/>
    </row>
    <row r="805" spans="1:21" ht="33.75" hidden="1">
      <c r="A805" s="243"/>
      <c r="B805" s="82" t="s">
        <v>947</v>
      </c>
      <c r="C805" s="47">
        <v>7506947</v>
      </c>
      <c r="D805" s="22">
        <v>5000</v>
      </c>
      <c r="E805" s="24">
        <v>5000</v>
      </c>
      <c r="F805" s="24"/>
      <c r="G805" s="24"/>
      <c r="H805" s="24"/>
      <c r="I805" s="24"/>
      <c r="J805" s="24"/>
      <c r="K805" s="24"/>
      <c r="L805" s="24"/>
      <c r="M805" s="24"/>
      <c r="N805" s="24"/>
      <c r="O805" s="24">
        <v>5000</v>
      </c>
      <c r="P805" s="24">
        <v>5000</v>
      </c>
      <c r="Q805" s="24"/>
      <c r="R805" s="24"/>
      <c r="S805" s="24"/>
      <c r="T805" s="22"/>
      <c r="U805" s="22"/>
    </row>
    <row r="806" spans="1:21" ht="101.25" hidden="1">
      <c r="A806" s="243"/>
      <c r="B806" s="82" t="s">
        <v>948</v>
      </c>
      <c r="C806" s="47">
        <v>7446531</v>
      </c>
      <c r="D806" s="44">
        <v>3867</v>
      </c>
      <c r="E806" s="24">
        <v>3856.0639999999999</v>
      </c>
      <c r="F806" s="24"/>
      <c r="G806" s="24"/>
      <c r="H806" s="24"/>
      <c r="I806" s="24"/>
      <c r="J806" s="24"/>
      <c r="K806" s="24"/>
      <c r="L806" s="24"/>
      <c r="M806" s="24"/>
      <c r="N806" s="24"/>
      <c r="O806" s="24">
        <v>3856.0639999999999</v>
      </c>
      <c r="P806" s="24"/>
      <c r="Q806" s="24">
        <v>3856.0639999999999</v>
      </c>
      <c r="R806" s="24"/>
      <c r="S806" s="24"/>
      <c r="T806" s="22"/>
      <c r="U806" s="22"/>
    </row>
    <row r="807" spans="1:21" ht="56.25" hidden="1">
      <c r="A807" s="243"/>
      <c r="B807" s="75" t="s">
        <v>949</v>
      </c>
      <c r="C807" s="34">
        <v>7380914</v>
      </c>
      <c r="D807" s="22">
        <v>6000</v>
      </c>
      <c r="E807" s="24">
        <v>6208.1120000000001</v>
      </c>
      <c r="F807" s="24"/>
      <c r="G807" s="24"/>
      <c r="H807" s="24"/>
      <c r="I807" s="24"/>
      <c r="J807" s="24"/>
      <c r="K807" s="24"/>
      <c r="L807" s="24"/>
      <c r="M807" s="24"/>
      <c r="N807" s="24"/>
      <c r="O807" s="24">
        <v>6208.1120000000001</v>
      </c>
      <c r="P807" s="24"/>
      <c r="Q807" s="24"/>
      <c r="R807" s="24"/>
      <c r="S807" s="24"/>
      <c r="T807" s="22"/>
      <c r="U807" s="22"/>
    </row>
    <row r="808" spans="1:21" ht="22.5" hidden="1">
      <c r="A808" s="243"/>
      <c r="B808" s="33" t="s">
        <v>950</v>
      </c>
      <c r="C808" s="34">
        <v>7568089</v>
      </c>
      <c r="D808" s="22"/>
      <c r="E808" s="24">
        <v>160.84200000000001</v>
      </c>
      <c r="F808" s="24"/>
      <c r="G808" s="24"/>
      <c r="H808" s="24"/>
      <c r="I808" s="24"/>
      <c r="J808" s="24"/>
      <c r="K808" s="24"/>
      <c r="L808" s="24"/>
      <c r="M808" s="24"/>
      <c r="N808" s="24"/>
      <c r="O808" s="24">
        <v>160.84200000000001</v>
      </c>
      <c r="P808" s="24">
        <v>160.84200000000001</v>
      </c>
      <c r="Q808" s="24"/>
      <c r="R808" s="24"/>
      <c r="S808" s="24"/>
      <c r="T808" s="22"/>
      <c r="U808" s="22"/>
    </row>
    <row r="809" spans="1:21" ht="33.75" hidden="1">
      <c r="A809" s="243"/>
      <c r="B809" s="33" t="s">
        <v>951</v>
      </c>
      <c r="C809" s="34">
        <v>7385179</v>
      </c>
      <c r="D809" s="22"/>
      <c r="E809" s="24">
        <v>18.024000000000001</v>
      </c>
      <c r="F809" s="24"/>
      <c r="G809" s="24"/>
      <c r="H809" s="24"/>
      <c r="I809" s="24"/>
      <c r="J809" s="24"/>
      <c r="K809" s="24"/>
      <c r="L809" s="24"/>
      <c r="M809" s="24"/>
      <c r="N809" s="24"/>
      <c r="O809" s="24">
        <v>18.024000000000001</v>
      </c>
      <c r="P809" s="24"/>
      <c r="Q809" s="24"/>
      <c r="R809" s="24"/>
      <c r="S809" s="24"/>
      <c r="T809" s="22"/>
      <c r="U809" s="22"/>
    </row>
    <row r="810" spans="1:21" ht="33.75" hidden="1">
      <c r="A810" s="243"/>
      <c r="B810" s="33" t="s">
        <v>941</v>
      </c>
      <c r="C810" s="34">
        <v>7306009</v>
      </c>
      <c r="D810" s="22"/>
      <c r="E810" s="24">
        <v>1817.4369999999999</v>
      </c>
      <c r="F810" s="24"/>
      <c r="G810" s="24"/>
      <c r="H810" s="24"/>
      <c r="I810" s="24"/>
      <c r="J810" s="24"/>
      <c r="K810" s="24"/>
      <c r="L810" s="24"/>
      <c r="M810" s="24"/>
      <c r="N810" s="24"/>
      <c r="O810" s="24">
        <v>1817.4369999999999</v>
      </c>
      <c r="P810" s="24">
        <v>1817.4369999999999</v>
      </c>
      <c r="Q810" s="24"/>
      <c r="R810" s="24"/>
      <c r="S810" s="24"/>
      <c r="T810" s="22"/>
      <c r="U810" s="22"/>
    </row>
    <row r="811" spans="1:21" ht="45" hidden="1">
      <c r="A811" s="243"/>
      <c r="B811" s="33" t="s">
        <v>952</v>
      </c>
      <c r="C811" s="51" t="s">
        <v>953</v>
      </c>
      <c r="D811" s="22"/>
      <c r="E811" s="24">
        <v>1363</v>
      </c>
      <c r="F811" s="24"/>
      <c r="G811" s="24"/>
      <c r="H811" s="24"/>
      <c r="I811" s="24"/>
      <c r="J811" s="24"/>
      <c r="K811" s="24"/>
      <c r="L811" s="24"/>
      <c r="M811" s="24"/>
      <c r="N811" s="24"/>
      <c r="O811" s="24">
        <v>1363</v>
      </c>
      <c r="P811" s="24"/>
      <c r="Q811" s="24">
        <v>1363</v>
      </c>
      <c r="R811" s="24"/>
      <c r="S811" s="24"/>
      <c r="T811" s="22"/>
      <c r="U811" s="22"/>
    </row>
    <row r="812" spans="1:21" ht="33.75" hidden="1">
      <c r="A812" s="243"/>
      <c r="B812" s="33" t="s">
        <v>954</v>
      </c>
      <c r="C812" s="34">
        <v>7210005</v>
      </c>
      <c r="D812" s="22"/>
      <c r="E812" s="24">
        <v>10.635</v>
      </c>
      <c r="F812" s="24"/>
      <c r="G812" s="24"/>
      <c r="H812" s="24"/>
      <c r="I812" s="24"/>
      <c r="J812" s="24"/>
      <c r="K812" s="24"/>
      <c r="L812" s="24"/>
      <c r="M812" s="24"/>
      <c r="N812" s="24"/>
      <c r="O812" s="24">
        <v>10.635</v>
      </c>
      <c r="P812" s="24"/>
      <c r="Q812" s="24"/>
      <c r="R812" s="24"/>
      <c r="S812" s="24"/>
      <c r="T812" s="22"/>
      <c r="U812" s="22"/>
    </row>
    <row r="813" spans="1:21" s="41" customFormat="1" hidden="1">
      <c r="A813" s="37"/>
      <c r="B813" s="38" t="s">
        <v>309</v>
      </c>
      <c r="C813" s="38"/>
      <c r="D813" s="39">
        <v>14185</v>
      </c>
      <c r="E813" s="61">
        <v>903.41000000000008</v>
      </c>
      <c r="F813" s="61">
        <v>218.73000000000002</v>
      </c>
      <c r="G813" s="61">
        <v>0</v>
      </c>
      <c r="H813" s="61">
        <v>0</v>
      </c>
      <c r="I813" s="61">
        <v>0</v>
      </c>
      <c r="J813" s="61">
        <v>0</v>
      </c>
      <c r="K813" s="61">
        <v>0</v>
      </c>
      <c r="L813" s="61">
        <v>0</v>
      </c>
      <c r="M813" s="61">
        <v>0</v>
      </c>
      <c r="N813" s="61">
        <v>0</v>
      </c>
      <c r="O813" s="61">
        <v>684.68000000000006</v>
      </c>
      <c r="P813" s="61">
        <v>0</v>
      </c>
      <c r="Q813" s="61">
        <v>0</v>
      </c>
      <c r="R813" s="61">
        <v>0</v>
      </c>
      <c r="S813" s="61">
        <v>0</v>
      </c>
      <c r="T813" s="39">
        <v>0</v>
      </c>
      <c r="U813" s="93"/>
    </row>
    <row r="814" spans="1:21" hidden="1">
      <c r="A814" s="243"/>
      <c r="B814" s="33" t="s">
        <v>955</v>
      </c>
      <c r="C814" s="34">
        <v>7645944</v>
      </c>
      <c r="D814" s="44">
        <v>2160</v>
      </c>
      <c r="E814" s="24">
        <v>0</v>
      </c>
      <c r="F814" s="24">
        <v>0</v>
      </c>
      <c r="G814" s="24"/>
      <c r="H814" s="24"/>
      <c r="I814" s="24"/>
      <c r="J814" s="24"/>
      <c r="K814" s="24"/>
      <c r="L814" s="24"/>
      <c r="M814" s="24"/>
      <c r="N814" s="24"/>
      <c r="O814" s="24"/>
      <c r="P814" s="24"/>
      <c r="Q814" s="24"/>
      <c r="R814" s="24"/>
      <c r="S814" s="24"/>
      <c r="T814" s="22"/>
      <c r="U814" s="22"/>
    </row>
    <row r="815" spans="1:21" hidden="1">
      <c r="A815" s="243"/>
      <c r="B815" s="33" t="s">
        <v>956</v>
      </c>
      <c r="C815" s="34">
        <v>7645943</v>
      </c>
      <c r="D815" s="44">
        <v>2160</v>
      </c>
      <c r="E815" s="24">
        <v>0</v>
      </c>
      <c r="F815" s="24">
        <v>0</v>
      </c>
      <c r="G815" s="24"/>
      <c r="H815" s="24"/>
      <c r="I815" s="24"/>
      <c r="J815" s="24"/>
      <c r="K815" s="24"/>
      <c r="L815" s="24"/>
      <c r="M815" s="24"/>
      <c r="N815" s="24"/>
      <c r="O815" s="24"/>
      <c r="P815" s="24"/>
      <c r="Q815" s="24"/>
      <c r="R815" s="24"/>
      <c r="S815" s="24"/>
      <c r="T815" s="22"/>
      <c r="U815" s="22"/>
    </row>
    <row r="816" spans="1:21" hidden="1">
      <c r="A816" s="243"/>
      <c r="B816" s="33" t="s">
        <v>957</v>
      </c>
      <c r="C816" s="34">
        <v>7644222</v>
      </c>
      <c r="D816" s="44">
        <v>1440</v>
      </c>
      <c r="E816" s="24">
        <v>74.403000000000006</v>
      </c>
      <c r="F816" s="24">
        <v>74.403000000000006</v>
      </c>
      <c r="G816" s="24"/>
      <c r="H816" s="24"/>
      <c r="I816" s="24"/>
      <c r="J816" s="24"/>
      <c r="K816" s="24"/>
      <c r="L816" s="24"/>
      <c r="M816" s="24"/>
      <c r="N816" s="24"/>
      <c r="O816" s="24"/>
      <c r="P816" s="24"/>
      <c r="Q816" s="24"/>
      <c r="R816" s="24"/>
      <c r="S816" s="24"/>
      <c r="T816" s="22"/>
      <c r="U816" s="22"/>
    </row>
    <row r="817" spans="1:21" hidden="1">
      <c r="A817" s="243"/>
      <c r="B817" s="33" t="s">
        <v>958</v>
      </c>
      <c r="C817" s="34">
        <v>7646173</v>
      </c>
      <c r="D817" s="44">
        <v>1440</v>
      </c>
      <c r="E817" s="24">
        <v>72.569999999999993</v>
      </c>
      <c r="F817" s="24">
        <v>72.569999999999993</v>
      </c>
      <c r="G817" s="24"/>
      <c r="H817" s="24"/>
      <c r="I817" s="24"/>
      <c r="J817" s="24"/>
      <c r="K817" s="24"/>
      <c r="L817" s="24"/>
      <c r="M817" s="24"/>
      <c r="N817" s="24"/>
      <c r="O817" s="24"/>
      <c r="P817" s="24"/>
      <c r="Q817" s="24"/>
      <c r="R817" s="24"/>
      <c r="S817" s="24"/>
      <c r="T817" s="22"/>
      <c r="U817" s="22"/>
    </row>
    <row r="818" spans="1:21" hidden="1">
      <c r="A818" s="243"/>
      <c r="B818" s="33" t="s">
        <v>959</v>
      </c>
      <c r="C818" s="34">
        <v>7646175</v>
      </c>
      <c r="D818" s="44">
        <v>2250</v>
      </c>
      <c r="E818" s="24">
        <v>0</v>
      </c>
      <c r="F818" s="24">
        <v>0</v>
      </c>
      <c r="G818" s="24"/>
      <c r="H818" s="24"/>
      <c r="I818" s="24"/>
      <c r="J818" s="24"/>
      <c r="K818" s="24"/>
      <c r="L818" s="24"/>
      <c r="M818" s="24"/>
      <c r="N818" s="24"/>
      <c r="O818" s="24"/>
      <c r="P818" s="24"/>
      <c r="Q818" s="24"/>
      <c r="R818" s="24"/>
      <c r="S818" s="24"/>
      <c r="T818" s="22"/>
      <c r="U818" s="22"/>
    </row>
    <row r="819" spans="1:21" hidden="1">
      <c r="A819" s="243"/>
      <c r="B819" s="33" t="s">
        <v>960</v>
      </c>
      <c r="C819" s="34">
        <v>7646176</v>
      </c>
      <c r="D819" s="44">
        <v>2700</v>
      </c>
      <c r="E819" s="24">
        <v>0</v>
      </c>
      <c r="F819" s="24">
        <v>0</v>
      </c>
      <c r="G819" s="24"/>
      <c r="H819" s="24"/>
      <c r="I819" s="24"/>
      <c r="J819" s="24"/>
      <c r="K819" s="24"/>
      <c r="L819" s="24"/>
      <c r="M819" s="24"/>
      <c r="N819" s="24"/>
      <c r="O819" s="24"/>
      <c r="P819" s="24"/>
      <c r="Q819" s="24"/>
      <c r="R819" s="24"/>
      <c r="S819" s="24"/>
      <c r="T819" s="22"/>
      <c r="U819" s="22"/>
    </row>
    <row r="820" spans="1:21" hidden="1">
      <c r="A820" s="243"/>
      <c r="B820" s="33" t="s">
        <v>961</v>
      </c>
      <c r="C820" s="34">
        <v>7646174</v>
      </c>
      <c r="D820" s="44">
        <v>1350</v>
      </c>
      <c r="E820" s="24">
        <v>71.757000000000005</v>
      </c>
      <c r="F820" s="24">
        <v>71.757000000000005</v>
      </c>
      <c r="G820" s="24"/>
      <c r="H820" s="24"/>
      <c r="I820" s="24"/>
      <c r="J820" s="24"/>
      <c r="K820" s="24"/>
      <c r="L820" s="24"/>
      <c r="M820" s="24"/>
      <c r="N820" s="24"/>
      <c r="O820" s="24"/>
      <c r="P820" s="24"/>
      <c r="Q820" s="24"/>
      <c r="R820" s="24"/>
      <c r="S820" s="24"/>
      <c r="T820" s="22"/>
      <c r="U820" s="22"/>
    </row>
    <row r="821" spans="1:21" ht="33.75" hidden="1">
      <c r="A821" s="243"/>
      <c r="B821" s="33" t="s">
        <v>962</v>
      </c>
      <c r="C821" s="34">
        <v>7627925</v>
      </c>
      <c r="D821" s="44">
        <v>281</v>
      </c>
      <c r="E821" s="24">
        <v>280.68</v>
      </c>
      <c r="F821" s="24"/>
      <c r="G821" s="24"/>
      <c r="H821" s="24"/>
      <c r="I821" s="24"/>
      <c r="J821" s="24"/>
      <c r="K821" s="24"/>
      <c r="L821" s="24"/>
      <c r="M821" s="24"/>
      <c r="N821" s="24"/>
      <c r="O821" s="24">
        <v>280.68</v>
      </c>
      <c r="P821" s="24"/>
      <c r="Q821" s="24"/>
      <c r="R821" s="24"/>
      <c r="S821" s="24"/>
      <c r="T821" s="22"/>
      <c r="U821" s="22"/>
    </row>
    <row r="822" spans="1:21" ht="33.75" hidden="1">
      <c r="A822" s="243"/>
      <c r="B822" s="33" t="s">
        <v>963</v>
      </c>
      <c r="C822" s="34">
        <v>7627926</v>
      </c>
      <c r="D822" s="44">
        <v>404</v>
      </c>
      <c r="E822" s="24">
        <v>404</v>
      </c>
      <c r="F822" s="24"/>
      <c r="G822" s="24"/>
      <c r="H822" s="24"/>
      <c r="I822" s="24"/>
      <c r="J822" s="24"/>
      <c r="K822" s="24"/>
      <c r="L822" s="24"/>
      <c r="M822" s="24"/>
      <c r="N822" s="24"/>
      <c r="O822" s="24">
        <v>404</v>
      </c>
      <c r="P822" s="24"/>
      <c r="Q822" s="24"/>
      <c r="R822" s="24"/>
      <c r="S822" s="24"/>
      <c r="T822" s="22"/>
      <c r="U822" s="22"/>
    </row>
    <row r="823" spans="1:21" s="41" customFormat="1">
      <c r="A823" s="91" t="s">
        <v>16</v>
      </c>
      <c r="B823" s="92" t="s">
        <v>287</v>
      </c>
      <c r="C823" s="92"/>
      <c r="D823" s="93">
        <v>34000</v>
      </c>
      <c r="E823" s="489">
        <v>0</v>
      </c>
      <c r="F823" s="489">
        <v>0</v>
      </c>
      <c r="G823" s="489">
        <v>0</v>
      </c>
      <c r="H823" s="489">
        <v>0</v>
      </c>
      <c r="I823" s="489">
        <v>0</v>
      </c>
      <c r="J823" s="489">
        <v>0</v>
      </c>
      <c r="K823" s="489">
        <v>0</v>
      </c>
      <c r="L823" s="489">
        <v>0</v>
      </c>
      <c r="M823" s="489">
        <v>0</v>
      </c>
      <c r="N823" s="489">
        <v>0</v>
      </c>
      <c r="O823" s="489">
        <v>0</v>
      </c>
      <c r="P823" s="489">
        <v>0</v>
      </c>
      <c r="Q823" s="489">
        <v>0</v>
      </c>
      <c r="R823" s="489">
        <v>0</v>
      </c>
      <c r="S823" s="489">
        <v>0</v>
      </c>
      <c r="T823" s="93">
        <v>0</v>
      </c>
      <c r="U823" s="93"/>
    </row>
    <row r="824" spans="1:21" ht="56.25" hidden="1">
      <c r="A824" s="243"/>
      <c r="B824" s="75" t="s">
        <v>949</v>
      </c>
      <c r="C824" s="34">
        <v>7380914</v>
      </c>
      <c r="D824" s="22">
        <v>34000</v>
      </c>
      <c r="E824" s="22">
        <v>0</v>
      </c>
      <c r="F824" s="22"/>
      <c r="G824" s="22"/>
      <c r="H824" s="22"/>
      <c r="I824" s="22"/>
      <c r="J824" s="22"/>
      <c r="K824" s="22"/>
      <c r="L824" s="22"/>
      <c r="M824" s="22"/>
      <c r="N824" s="22"/>
      <c r="O824" s="22"/>
      <c r="P824" s="22"/>
      <c r="Q824" s="22"/>
      <c r="R824" s="22"/>
      <c r="S824" s="22"/>
      <c r="T824" s="22"/>
      <c r="U824" s="22"/>
    </row>
    <row r="825" spans="1:21" hidden="1">
      <c r="A825" s="243"/>
      <c r="B825" s="18"/>
      <c r="C825" s="18"/>
      <c r="D825" s="22"/>
      <c r="E825" s="22"/>
      <c r="F825" s="22"/>
      <c r="G825" s="22"/>
      <c r="H825" s="22"/>
      <c r="I825" s="22"/>
      <c r="J825" s="22"/>
      <c r="K825" s="22"/>
      <c r="L825" s="22"/>
      <c r="M825" s="22"/>
      <c r="N825" s="22"/>
      <c r="O825" s="22"/>
      <c r="P825" s="22"/>
      <c r="Q825" s="22"/>
      <c r="R825" s="22"/>
      <c r="S825" s="22"/>
      <c r="T825" s="22"/>
      <c r="U825" s="22"/>
    </row>
    <row r="826" spans="1:21" hidden="1">
      <c r="A826" s="243"/>
      <c r="B826" s="18"/>
      <c r="C826" s="18"/>
      <c r="D826" s="22"/>
      <c r="E826" s="22"/>
      <c r="F826" s="22"/>
      <c r="G826" s="22"/>
      <c r="H826" s="22"/>
      <c r="I826" s="22"/>
      <c r="J826" s="22"/>
      <c r="K826" s="22"/>
      <c r="L826" s="22"/>
      <c r="M826" s="22"/>
      <c r="N826" s="22"/>
      <c r="O826" s="22"/>
      <c r="P826" s="22"/>
      <c r="Q826" s="22"/>
      <c r="R826" s="22"/>
      <c r="S826" s="22"/>
      <c r="T826" s="22"/>
      <c r="U826" s="22"/>
    </row>
    <row r="827" spans="1:21" hidden="1">
      <c r="A827" s="243"/>
      <c r="B827" s="18"/>
      <c r="C827" s="18"/>
      <c r="D827" s="22"/>
      <c r="E827" s="22"/>
      <c r="F827" s="22"/>
      <c r="G827" s="22"/>
      <c r="H827" s="22"/>
      <c r="I827" s="22"/>
      <c r="J827" s="22"/>
      <c r="K827" s="22"/>
      <c r="L827" s="22"/>
      <c r="M827" s="22"/>
      <c r="N827" s="22"/>
      <c r="O827" s="22"/>
      <c r="P827" s="22"/>
      <c r="Q827" s="22"/>
      <c r="R827" s="22"/>
      <c r="S827" s="22"/>
      <c r="T827" s="22"/>
      <c r="U827" s="22"/>
    </row>
    <row r="828" spans="1:21" hidden="1">
      <c r="A828" s="243"/>
      <c r="B828" s="18"/>
      <c r="C828" s="18"/>
      <c r="D828" s="22"/>
      <c r="E828" s="22"/>
      <c r="F828" s="22"/>
      <c r="G828" s="22"/>
      <c r="H828" s="22"/>
      <c r="I828" s="22"/>
      <c r="J828" s="22"/>
      <c r="K828" s="22"/>
      <c r="L828" s="22"/>
      <c r="M828" s="22"/>
      <c r="N828" s="22"/>
      <c r="O828" s="22"/>
      <c r="P828" s="22"/>
      <c r="Q828" s="22"/>
      <c r="R828" s="22"/>
      <c r="S828" s="22"/>
      <c r="T828" s="22"/>
      <c r="U828" s="22"/>
    </row>
    <row r="829" spans="1:21" hidden="1">
      <c r="A829" s="243"/>
      <c r="B829" s="18"/>
      <c r="C829" s="18"/>
      <c r="D829" s="22"/>
      <c r="E829" s="22"/>
      <c r="F829" s="22"/>
      <c r="G829" s="22"/>
      <c r="H829" s="22"/>
      <c r="I829" s="22"/>
      <c r="J829" s="22"/>
      <c r="K829" s="22"/>
      <c r="L829" s="22"/>
      <c r="M829" s="22"/>
      <c r="N829" s="22"/>
      <c r="O829" s="22"/>
      <c r="P829" s="22"/>
      <c r="Q829" s="22"/>
      <c r="R829" s="22"/>
      <c r="S829" s="22"/>
      <c r="T829" s="22"/>
      <c r="U829" s="22"/>
    </row>
    <row r="830" spans="1:21" hidden="1">
      <c r="A830" s="243"/>
      <c r="B830" s="18"/>
      <c r="C830" s="18"/>
      <c r="D830" s="22"/>
      <c r="E830" s="22"/>
      <c r="F830" s="22"/>
      <c r="G830" s="22"/>
      <c r="H830" s="22"/>
      <c r="I830" s="22"/>
      <c r="J830" s="22"/>
      <c r="K830" s="22"/>
      <c r="L830" s="22"/>
      <c r="M830" s="22"/>
      <c r="N830" s="22"/>
      <c r="O830" s="22"/>
      <c r="P830" s="22"/>
      <c r="Q830" s="22"/>
      <c r="R830" s="22"/>
      <c r="S830" s="22"/>
      <c r="T830" s="22"/>
      <c r="U830" s="22"/>
    </row>
    <row r="831" spans="1:21" hidden="1">
      <c r="A831" s="243"/>
      <c r="B831" s="18"/>
      <c r="C831" s="18"/>
      <c r="D831" s="22"/>
      <c r="E831" s="22"/>
      <c r="F831" s="22"/>
      <c r="G831" s="22"/>
      <c r="H831" s="22"/>
      <c r="I831" s="22"/>
      <c r="J831" s="22"/>
      <c r="K831" s="22"/>
      <c r="L831" s="22"/>
      <c r="M831" s="22"/>
      <c r="N831" s="22"/>
      <c r="O831" s="22"/>
      <c r="P831" s="22"/>
      <c r="Q831" s="22"/>
      <c r="R831" s="22"/>
      <c r="S831" s="22"/>
      <c r="T831" s="22"/>
      <c r="U831" s="22"/>
    </row>
    <row r="832" spans="1:21" hidden="1">
      <c r="A832" s="243"/>
      <c r="B832" s="18"/>
      <c r="C832" s="18"/>
      <c r="D832" s="22"/>
      <c r="E832" s="22"/>
      <c r="F832" s="22"/>
      <c r="G832" s="22"/>
      <c r="H832" s="22"/>
      <c r="I832" s="22"/>
      <c r="J832" s="22"/>
      <c r="K832" s="22"/>
      <c r="L832" s="22"/>
      <c r="M832" s="22"/>
      <c r="N832" s="22"/>
      <c r="O832" s="22"/>
      <c r="P832" s="22"/>
      <c r="Q832" s="22"/>
      <c r="R832" s="22"/>
      <c r="S832" s="22"/>
      <c r="T832" s="22"/>
      <c r="U832" s="22"/>
    </row>
    <row r="833" spans="1:21" hidden="1">
      <c r="A833" s="243"/>
      <c r="B833" s="18"/>
      <c r="C833" s="18"/>
      <c r="D833" s="22"/>
      <c r="E833" s="22"/>
      <c r="F833" s="22"/>
      <c r="G833" s="22"/>
      <c r="H833" s="22"/>
      <c r="I833" s="22"/>
      <c r="J833" s="22"/>
      <c r="K833" s="22"/>
      <c r="L833" s="22"/>
      <c r="M833" s="22"/>
      <c r="N833" s="22"/>
      <c r="O833" s="22"/>
      <c r="P833" s="22"/>
      <c r="Q833" s="22"/>
      <c r="R833" s="22"/>
      <c r="S833" s="22"/>
      <c r="T833" s="22"/>
      <c r="U833" s="22"/>
    </row>
    <row r="834" spans="1:21" hidden="1">
      <c r="A834" s="243"/>
      <c r="B834" s="18"/>
      <c r="C834" s="18"/>
      <c r="D834" s="22"/>
      <c r="E834" s="22"/>
      <c r="F834" s="22"/>
      <c r="G834" s="22"/>
      <c r="H834" s="22"/>
      <c r="I834" s="22"/>
      <c r="J834" s="22"/>
      <c r="K834" s="22"/>
      <c r="L834" s="22"/>
      <c r="M834" s="22"/>
      <c r="N834" s="22"/>
      <c r="O834" s="22"/>
      <c r="P834" s="22"/>
      <c r="Q834" s="22"/>
      <c r="R834" s="22"/>
      <c r="S834" s="22"/>
      <c r="T834" s="22"/>
      <c r="U834" s="22"/>
    </row>
    <row r="835" spans="1:21" hidden="1">
      <c r="A835" s="243"/>
      <c r="B835" s="18"/>
      <c r="C835" s="18"/>
      <c r="D835" s="22"/>
      <c r="E835" s="22"/>
      <c r="F835" s="22"/>
      <c r="G835" s="22"/>
      <c r="H835" s="22"/>
      <c r="I835" s="22"/>
      <c r="J835" s="22"/>
      <c r="K835" s="22"/>
      <c r="L835" s="22"/>
      <c r="M835" s="22"/>
      <c r="N835" s="22"/>
      <c r="O835" s="22"/>
      <c r="P835" s="22"/>
      <c r="Q835" s="22"/>
      <c r="R835" s="22"/>
      <c r="S835" s="22"/>
      <c r="T835" s="22"/>
      <c r="U835" s="22"/>
    </row>
    <row r="836" spans="1:21" hidden="1">
      <c r="A836" s="243"/>
      <c r="B836" s="18"/>
      <c r="C836" s="18"/>
      <c r="D836" s="22"/>
      <c r="E836" s="22"/>
      <c r="F836" s="22"/>
      <c r="G836" s="22"/>
      <c r="H836" s="22"/>
      <c r="I836" s="22"/>
      <c r="J836" s="22"/>
      <c r="K836" s="22"/>
      <c r="L836" s="22"/>
      <c r="M836" s="22"/>
      <c r="N836" s="22"/>
      <c r="O836" s="22"/>
      <c r="P836" s="22"/>
      <c r="Q836" s="22"/>
      <c r="R836" s="22"/>
      <c r="S836" s="22"/>
      <c r="T836" s="22"/>
      <c r="U836" s="22"/>
    </row>
    <row r="837" spans="1:21" hidden="1">
      <c r="A837" s="243"/>
      <c r="B837" s="18"/>
      <c r="C837" s="18"/>
      <c r="D837" s="22"/>
      <c r="E837" s="22"/>
      <c r="F837" s="22"/>
      <c r="G837" s="22"/>
      <c r="H837" s="22"/>
      <c r="I837" s="22"/>
      <c r="J837" s="22"/>
      <c r="K837" s="22"/>
      <c r="L837" s="22"/>
      <c r="M837" s="22"/>
      <c r="N837" s="22"/>
      <c r="O837" s="22"/>
      <c r="P837" s="22"/>
      <c r="Q837" s="22"/>
      <c r="R837" s="22"/>
      <c r="S837" s="22"/>
      <c r="T837" s="22"/>
      <c r="U837" s="22"/>
    </row>
    <row r="838" spans="1:21" hidden="1">
      <c r="A838" s="243"/>
      <c r="B838" s="18"/>
      <c r="C838" s="18"/>
      <c r="D838" s="22"/>
      <c r="E838" s="22"/>
      <c r="F838" s="22"/>
      <c r="G838" s="22"/>
      <c r="H838" s="22"/>
      <c r="I838" s="22"/>
      <c r="J838" s="22"/>
      <c r="K838" s="22"/>
      <c r="L838" s="22"/>
      <c r="M838" s="22"/>
      <c r="N838" s="22"/>
      <c r="O838" s="22"/>
      <c r="P838" s="22"/>
      <c r="Q838" s="22"/>
      <c r="R838" s="22"/>
      <c r="S838" s="22"/>
      <c r="T838" s="22"/>
      <c r="U838" s="22"/>
    </row>
    <row r="839" spans="1:21" hidden="1">
      <c r="A839" s="243"/>
      <c r="B839" s="18"/>
      <c r="C839" s="18"/>
      <c r="D839" s="22"/>
      <c r="E839" s="22"/>
      <c r="F839" s="22"/>
      <c r="G839" s="22"/>
      <c r="H839" s="22"/>
      <c r="I839" s="22"/>
      <c r="J839" s="22"/>
      <c r="K839" s="22"/>
      <c r="L839" s="22"/>
      <c r="M839" s="22"/>
      <c r="N839" s="22"/>
      <c r="O839" s="22"/>
      <c r="P839" s="22"/>
      <c r="Q839" s="22"/>
      <c r="R839" s="22"/>
      <c r="S839" s="22"/>
      <c r="T839" s="22"/>
      <c r="U839" s="22"/>
    </row>
    <row r="840" spans="1:21" hidden="1">
      <c r="A840" s="243"/>
      <c r="B840" s="18"/>
      <c r="C840" s="18"/>
      <c r="D840" s="22"/>
      <c r="E840" s="22"/>
      <c r="F840" s="22"/>
      <c r="G840" s="22"/>
      <c r="H840" s="22"/>
      <c r="I840" s="22"/>
      <c r="J840" s="22"/>
      <c r="K840" s="22"/>
      <c r="L840" s="22"/>
      <c r="M840" s="22"/>
      <c r="N840" s="22"/>
      <c r="O840" s="22"/>
      <c r="P840" s="22"/>
      <c r="Q840" s="22"/>
      <c r="R840" s="22"/>
      <c r="S840" s="22"/>
      <c r="T840" s="22"/>
      <c r="U840" s="22"/>
    </row>
    <row r="841" spans="1:21" hidden="1">
      <c r="A841" s="243"/>
      <c r="B841" s="18"/>
      <c r="C841" s="18"/>
      <c r="D841" s="22"/>
      <c r="E841" s="22"/>
      <c r="F841" s="22"/>
      <c r="G841" s="22"/>
      <c r="H841" s="22"/>
      <c r="I841" s="22"/>
      <c r="J841" s="22"/>
      <c r="K841" s="22"/>
      <c r="L841" s="22"/>
      <c r="M841" s="22"/>
      <c r="N841" s="22"/>
      <c r="O841" s="22"/>
      <c r="P841" s="22"/>
      <c r="Q841" s="22"/>
      <c r="R841" s="22"/>
      <c r="S841" s="22"/>
      <c r="T841" s="22"/>
      <c r="U841" s="22"/>
    </row>
    <row r="842" spans="1:21" hidden="1">
      <c r="A842" s="243"/>
      <c r="B842" s="18"/>
      <c r="C842" s="18"/>
      <c r="D842" s="22"/>
      <c r="E842" s="22"/>
      <c r="F842" s="22"/>
      <c r="G842" s="22"/>
      <c r="H842" s="22"/>
      <c r="I842" s="22"/>
      <c r="J842" s="22"/>
      <c r="K842" s="22"/>
      <c r="L842" s="22"/>
      <c r="M842" s="22"/>
      <c r="N842" s="22"/>
      <c r="O842" s="22"/>
      <c r="P842" s="22"/>
      <c r="Q842" s="22"/>
      <c r="R842" s="22"/>
      <c r="S842" s="22"/>
      <c r="T842" s="22"/>
      <c r="U842" s="22"/>
    </row>
    <row r="843" spans="1:21" hidden="1">
      <c r="A843" s="243"/>
      <c r="B843" s="18"/>
      <c r="C843" s="18"/>
      <c r="D843" s="22"/>
      <c r="E843" s="22"/>
      <c r="F843" s="22"/>
      <c r="G843" s="22"/>
      <c r="H843" s="22"/>
      <c r="I843" s="22"/>
      <c r="J843" s="22"/>
      <c r="K843" s="22"/>
      <c r="L843" s="22"/>
      <c r="M843" s="22"/>
      <c r="N843" s="22"/>
      <c r="O843" s="22"/>
      <c r="P843" s="22"/>
      <c r="Q843" s="22"/>
      <c r="R843" s="22"/>
      <c r="S843" s="22"/>
      <c r="T843" s="22"/>
      <c r="U843" s="22"/>
    </row>
    <row r="844" spans="1:21" hidden="1">
      <c r="A844" s="243"/>
      <c r="B844" s="18"/>
      <c r="C844" s="18"/>
      <c r="D844" s="22"/>
      <c r="E844" s="22"/>
      <c r="F844" s="22"/>
      <c r="G844" s="22"/>
      <c r="H844" s="22"/>
      <c r="I844" s="22"/>
      <c r="J844" s="22"/>
      <c r="K844" s="22"/>
      <c r="L844" s="22"/>
      <c r="M844" s="22"/>
      <c r="N844" s="22"/>
      <c r="O844" s="22"/>
      <c r="P844" s="22"/>
      <c r="Q844" s="22"/>
      <c r="R844" s="22"/>
      <c r="S844" s="22"/>
      <c r="T844" s="22"/>
      <c r="U844" s="22"/>
    </row>
    <row r="845" spans="1:21" hidden="1">
      <c r="A845" s="243"/>
      <c r="B845" s="18"/>
      <c r="C845" s="18"/>
      <c r="D845" s="22"/>
      <c r="E845" s="22"/>
      <c r="F845" s="22"/>
      <c r="G845" s="22"/>
      <c r="H845" s="22"/>
      <c r="I845" s="22"/>
      <c r="J845" s="22"/>
      <c r="K845" s="22"/>
      <c r="L845" s="22"/>
      <c r="M845" s="22"/>
      <c r="N845" s="22"/>
      <c r="O845" s="22"/>
      <c r="P845" s="22"/>
      <c r="Q845" s="22"/>
      <c r="R845" s="22"/>
      <c r="S845" s="22"/>
      <c r="T845" s="22"/>
      <c r="U845" s="22"/>
    </row>
    <row r="846" spans="1:21" hidden="1">
      <c r="A846" s="243"/>
      <c r="B846" s="18"/>
      <c r="C846" s="18"/>
      <c r="D846" s="22"/>
      <c r="E846" s="22"/>
      <c r="F846" s="22"/>
      <c r="G846" s="22"/>
      <c r="H846" s="22"/>
      <c r="I846" s="22"/>
      <c r="J846" s="22"/>
      <c r="K846" s="22"/>
      <c r="L846" s="22"/>
      <c r="M846" s="22"/>
      <c r="N846" s="22"/>
      <c r="O846" s="22"/>
      <c r="P846" s="22"/>
      <c r="Q846" s="22"/>
      <c r="R846" s="22"/>
      <c r="S846" s="22"/>
      <c r="T846" s="22"/>
      <c r="U846" s="22"/>
    </row>
    <row r="847" spans="1:21" hidden="1">
      <c r="A847" s="243"/>
      <c r="B847" s="18"/>
      <c r="C847" s="18"/>
      <c r="D847" s="22"/>
      <c r="E847" s="22"/>
      <c r="F847" s="22"/>
      <c r="G847" s="22"/>
      <c r="H847" s="22"/>
      <c r="I847" s="22"/>
      <c r="J847" s="22"/>
      <c r="K847" s="22"/>
      <c r="L847" s="22"/>
      <c r="M847" s="22"/>
      <c r="N847" s="22"/>
      <c r="O847" s="22"/>
      <c r="P847" s="22"/>
      <c r="Q847" s="22"/>
      <c r="R847" s="22"/>
      <c r="S847" s="22"/>
      <c r="T847" s="22"/>
      <c r="U847" s="22"/>
    </row>
    <row r="848" spans="1:21" hidden="1">
      <c r="A848" s="243"/>
      <c r="B848" s="18"/>
      <c r="C848" s="18"/>
      <c r="D848" s="22"/>
      <c r="E848" s="22"/>
      <c r="F848" s="22"/>
      <c r="G848" s="22"/>
      <c r="H848" s="22"/>
      <c r="I848" s="22"/>
      <c r="J848" s="22"/>
      <c r="K848" s="22"/>
      <c r="L848" s="22"/>
      <c r="M848" s="22"/>
      <c r="N848" s="22"/>
      <c r="O848" s="22"/>
      <c r="P848" s="22"/>
      <c r="Q848" s="22"/>
      <c r="R848" s="22"/>
      <c r="S848" s="22"/>
      <c r="T848" s="22"/>
      <c r="U848" s="22"/>
    </row>
    <row r="849" spans="1:21" hidden="1">
      <c r="A849" s="243"/>
      <c r="B849" s="18"/>
      <c r="C849" s="18"/>
      <c r="D849" s="22"/>
      <c r="E849" s="22"/>
      <c r="F849" s="22"/>
      <c r="G849" s="22"/>
      <c r="H849" s="22"/>
      <c r="I849" s="22"/>
      <c r="J849" s="22"/>
      <c r="K849" s="22"/>
      <c r="L849" s="22"/>
      <c r="M849" s="22"/>
      <c r="N849" s="22"/>
      <c r="O849" s="22"/>
      <c r="P849" s="22"/>
      <c r="Q849" s="22"/>
      <c r="R849" s="22"/>
      <c r="S849" s="22"/>
      <c r="T849" s="22"/>
      <c r="U849" s="22"/>
    </row>
    <row r="850" spans="1:21" hidden="1">
      <c r="A850" s="243"/>
      <c r="B850" s="18"/>
      <c r="C850" s="18"/>
      <c r="D850" s="22"/>
      <c r="E850" s="22"/>
      <c r="F850" s="22"/>
      <c r="G850" s="22"/>
      <c r="H850" s="22"/>
      <c r="I850" s="22"/>
      <c r="J850" s="22"/>
      <c r="K850" s="22"/>
      <c r="L850" s="22"/>
      <c r="M850" s="22"/>
      <c r="N850" s="22"/>
      <c r="O850" s="22"/>
      <c r="P850" s="22"/>
      <c r="Q850" s="22"/>
      <c r="R850" s="22"/>
      <c r="S850" s="22"/>
      <c r="T850" s="22"/>
      <c r="U850" s="22"/>
    </row>
    <row r="851" spans="1:21" hidden="1">
      <c r="A851" s="243"/>
      <c r="B851" s="18"/>
      <c r="C851" s="18"/>
      <c r="D851" s="22"/>
      <c r="E851" s="22"/>
      <c r="F851" s="22"/>
      <c r="G851" s="22"/>
      <c r="H851" s="22"/>
      <c r="I851" s="22"/>
      <c r="J851" s="22"/>
      <c r="K851" s="22"/>
      <c r="L851" s="22"/>
      <c r="M851" s="22"/>
      <c r="N851" s="22"/>
      <c r="O851" s="22"/>
      <c r="P851" s="22"/>
      <c r="Q851" s="22"/>
      <c r="R851" s="22"/>
      <c r="S851" s="22"/>
      <c r="T851" s="22"/>
      <c r="U851" s="22"/>
    </row>
    <row r="852" spans="1:21" hidden="1">
      <c r="A852" s="243"/>
      <c r="B852" s="18"/>
      <c r="C852" s="18"/>
      <c r="D852" s="22"/>
      <c r="E852" s="22"/>
      <c r="F852" s="22"/>
      <c r="G852" s="22"/>
      <c r="H852" s="22"/>
      <c r="I852" s="22"/>
      <c r="J852" s="22"/>
      <c r="K852" s="22"/>
      <c r="L852" s="22"/>
      <c r="M852" s="22"/>
      <c r="N852" s="22"/>
      <c r="O852" s="22"/>
      <c r="P852" s="22"/>
      <c r="Q852" s="22"/>
      <c r="R852" s="22"/>
      <c r="S852" s="22"/>
      <c r="T852" s="22"/>
      <c r="U852" s="22"/>
    </row>
    <row r="853" spans="1:21" hidden="1">
      <c r="A853" s="243"/>
      <c r="B853" s="18"/>
      <c r="C853" s="18"/>
      <c r="D853" s="22"/>
      <c r="E853" s="22"/>
      <c r="F853" s="22"/>
      <c r="G853" s="22"/>
      <c r="H853" s="22"/>
      <c r="I853" s="22"/>
      <c r="J853" s="22"/>
      <c r="K853" s="22"/>
      <c r="L853" s="22"/>
      <c r="M853" s="22"/>
      <c r="N853" s="22"/>
      <c r="O853" s="22"/>
      <c r="P853" s="22"/>
      <c r="Q853" s="22"/>
      <c r="R853" s="22"/>
      <c r="S853" s="22"/>
      <c r="T853" s="22"/>
      <c r="U853" s="22"/>
    </row>
    <row r="854" spans="1:21" hidden="1">
      <c r="A854" s="243"/>
      <c r="B854" s="18"/>
      <c r="C854" s="18"/>
      <c r="D854" s="22"/>
      <c r="E854" s="22"/>
      <c r="F854" s="22"/>
      <c r="G854" s="22"/>
      <c r="H854" s="22"/>
      <c r="I854" s="22"/>
      <c r="J854" s="22"/>
      <c r="K854" s="22"/>
      <c r="L854" s="22"/>
      <c r="M854" s="22"/>
      <c r="N854" s="22"/>
      <c r="O854" s="22"/>
      <c r="P854" s="22"/>
      <c r="Q854" s="22"/>
      <c r="R854" s="22"/>
      <c r="S854" s="22"/>
      <c r="T854" s="22"/>
      <c r="U854" s="22"/>
    </row>
    <row r="855" spans="1:21" hidden="1">
      <c r="A855" s="243"/>
      <c r="B855" s="18"/>
      <c r="C855" s="18"/>
      <c r="D855" s="22"/>
      <c r="E855" s="22"/>
      <c r="F855" s="22"/>
      <c r="G855" s="22"/>
      <c r="H855" s="22"/>
      <c r="I855" s="22"/>
      <c r="J855" s="22"/>
      <c r="K855" s="22"/>
      <c r="L855" s="22"/>
      <c r="M855" s="22"/>
      <c r="N855" s="22"/>
      <c r="O855" s="22"/>
      <c r="P855" s="22"/>
      <c r="Q855" s="22"/>
      <c r="R855" s="22"/>
      <c r="S855" s="22"/>
      <c r="T855" s="22"/>
      <c r="U855" s="22"/>
    </row>
    <row r="856" spans="1:21" hidden="1">
      <c r="A856" s="243"/>
      <c r="B856" s="18"/>
      <c r="C856" s="18"/>
      <c r="D856" s="22"/>
      <c r="E856" s="22"/>
      <c r="F856" s="22"/>
      <c r="G856" s="22"/>
      <c r="H856" s="22"/>
      <c r="I856" s="22"/>
      <c r="J856" s="22"/>
      <c r="K856" s="22"/>
      <c r="L856" s="22"/>
      <c r="M856" s="22"/>
      <c r="N856" s="22"/>
      <c r="O856" s="22"/>
      <c r="P856" s="22"/>
      <c r="Q856" s="22"/>
      <c r="R856" s="22"/>
      <c r="S856" s="22"/>
      <c r="T856" s="22"/>
      <c r="U856" s="22"/>
    </row>
    <row r="857" spans="1:21" hidden="1">
      <c r="A857" s="243"/>
      <c r="B857" s="18"/>
      <c r="C857" s="18"/>
      <c r="D857" s="22"/>
      <c r="E857" s="22"/>
      <c r="F857" s="22"/>
      <c r="G857" s="22"/>
      <c r="H857" s="22"/>
      <c r="I857" s="22"/>
      <c r="J857" s="22"/>
      <c r="K857" s="22"/>
      <c r="L857" s="22"/>
      <c r="M857" s="22"/>
      <c r="N857" s="22"/>
      <c r="O857" s="22"/>
      <c r="P857" s="22"/>
      <c r="Q857" s="22"/>
      <c r="R857" s="22"/>
      <c r="S857" s="22"/>
      <c r="T857" s="22"/>
      <c r="U857" s="22"/>
    </row>
    <row r="858" spans="1:21" hidden="1">
      <c r="A858" s="243"/>
      <c r="B858" s="18"/>
      <c r="C858" s="18"/>
      <c r="D858" s="22"/>
      <c r="E858" s="22"/>
      <c r="F858" s="22"/>
      <c r="G858" s="22"/>
      <c r="H858" s="22"/>
      <c r="I858" s="22"/>
      <c r="J858" s="22"/>
      <c r="K858" s="22"/>
      <c r="L858" s="22"/>
      <c r="M858" s="22"/>
      <c r="N858" s="22"/>
      <c r="O858" s="22"/>
      <c r="P858" s="22"/>
      <c r="Q858" s="22"/>
      <c r="R858" s="22"/>
      <c r="S858" s="22"/>
      <c r="T858" s="22"/>
      <c r="U858" s="22"/>
    </row>
    <row r="859" spans="1:21" hidden="1">
      <c r="A859" s="243"/>
      <c r="B859" s="18"/>
      <c r="C859" s="18"/>
      <c r="D859" s="22"/>
      <c r="E859" s="22"/>
      <c r="F859" s="22"/>
      <c r="G859" s="22"/>
      <c r="H859" s="22"/>
      <c r="I859" s="22"/>
      <c r="J859" s="22"/>
      <c r="K859" s="22"/>
      <c r="L859" s="22"/>
      <c r="M859" s="22"/>
      <c r="N859" s="22"/>
      <c r="O859" s="22"/>
      <c r="P859" s="22"/>
      <c r="Q859" s="22"/>
      <c r="R859" s="22"/>
      <c r="S859" s="22"/>
      <c r="T859" s="22"/>
      <c r="U859" s="22"/>
    </row>
    <row r="860" spans="1:21" hidden="1">
      <c r="A860" s="243"/>
      <c r="B860" s="18"/>
      <c r="C860" s="18"/>
      <c r="D860" s="22"/>
      <c r="E860" s="22"/>
      <c r="F860" s="22"/>
      <c r="G860" s="22"/>
      <c r="H860" s="22"/>
      <c r="I860" s="22"/>
      <c r="J860" s="22"/>
      <c r="K860" s="22"/>
      <c r="L860" s="22"/>
      <c r="M860" s="22"/>
      <c r="N860" s="22"/>
      <c r="O860" s="22"/>
      <c r="P860" s="22"/>
      <c r="Q860" s="22"/>
      <c r="R860" s="22"/>
      <c r="S860" s="22"/>
      <c r="T860" s="22"/>
      <c r="U860" s="22"/>
    </row>
    <row r="861" spans="1:21" hidden="1">
      <c r="A861" s="243"/>
      <c r="B861" s="18"/>
      <c r="C861" s="18"/>
      <c r="D861" s="22"/>
      <c r="E861" s="22"/>
      <c r="F861" s="22"/>
      <c r="G861" s="22"/>
      <c r="H861" s="22"/>
      <c r="I861" s="22"/>
      <c r="J861" s="22"/>
      <c r="K861" s="22"/>
      <c r="L861" s="22"/>
      <c r="M861" s="22"/>
      <c r="N861" s="22"/>
      <c r="O861" s="22"/>
      <c r="P861" s="22"/>
      <c r="Q861" s="22"/>
      <c r="R861" s="22"/>
      <c r="S861" s="22"/>
      <c r="T861" s="22"/>
      <c r="U861" s="22"/>
    </row>
    <row r="862" spans="1:21" hidden="1">
      <c r="A862" s="243"/>
      <c r="B862" s="18"/>
      <c r="C862" s="18"/>
      <c r="D862" s="22"/>
      <c r="E862" s="22"/>
      <c r="F862" s="22"/>
      <c r="G862" s="22"/>
      <c r="H862" s="22"/>
      <c r="I862" s="22"/>
      <c r="J862" s="22"/>
      <c r="K862" s="22"/>
      <c r="L862" s="22"/>
      <c r="M862" s="22"/>
      <c r="N862" s="22"/>
      <c r="O862" s="22"/>
      <c r="P862" s="22"/>
      <c r="Q862" s="22"/>
      <c r="R862" s="22"/>
      <c r="S862" s="22"/>
      <c r="T862" s="22"/>
      <c r="U862" s="22"/>
    </row>
    <row r="863" spans="1:21" hidden="1">
      <c r="A863" s="243"/>
      <c r="B863" s="18"/>
      <c r="C863" s="18"/>
      <c r="D863" s="22"/>
      <c r="E863" s="22"/>
      <c r="F863" s="22"/>
      <c r="G863" s="22"/>
      <c r="H863" s="22"/>
      <c r="I863" s="22"/>
      <c r="J863" s="22"/>
      <c r="K863" s="22"/>
      <c r="L863" s="22"/>
      <c r="M863" s="22"/>
      <c r="N863" s="22"/>
      <c r="O863" s="22"/>
      <c r="P863" s="22"/>
      <c r="Q863" s="22"/>
      <c r="R863" s="22"/>
      <c r="S863" s="22"/>
      <c r="T863" s="22"/>
      <c r="U863" s="22"/>
    </row>
    <row r="864" spans="1:21" hidden="1">
      <c r="A864" s="243"/>
      <c r="B864" s="18"/>
      <c r="C864" s="18"/>
      <c r="D864" s="22"/>
      <c r="E864" s="22"/>
      <c r="F864" s="22"/>
      <c r="G864" s="22"/>
      <c r="H864" s="22"/>
      <c r="I864" s="22"/>
      <c r="J864" s="22"/>
      <c r="K864" s="22"/>
      <c r="L864" s="22"/>
      <c r="M864" s="22"/>
      <c r="N864" s="22"/>
      <c r="O864" s="22"/>
      <c r="P864" s="22"/>
      <c r="Q864" s="22"/>
      <c r="R864" s="22"/>
      <c r="S864" s="22"/>
      <c r="T864" s="22"/>
      <c r="U864" s="22"/>
    </row>
    <row r="865" spans="1:21" hidden="1">
      <c r="A865" s="243"/>
      <c r="B865" s="18"/>
      <c r="C865" s="18"/>
      <c r="D865" s="22"/>
      <c r="E865" s="22"/>
      <c r="F865" s="22"/>
      <c r="G865" s="22"/>
      <c r="H865" s="22"/>
      <c r="I865" s="22"/>
      <c r="J865" s="22"/>
      <c r="K865" s="22"/>
      <c r="L865" s="22"/>
      <c r="M865" s="22"/>
      <c r="N865" s="22"/>
      <c r="O865" s="22"/>
      <c r="P865" s="22"/>
      <c r="Q865" s="22"/>
      <c r="R865" s="22"/>
      <c r="S865" s="22"/>
      <c r="T865" s="22"/>
      <c r="U865" s="22"/>
    </row>
    <row r="866" spans="1:21" hidden="1">
      <c r="A866" s="243"/>
      <c r="B866" s="18"/>
      <c r="C866" s="18"/>
      <c r="D866" s="22"/>
      <c r="E866" s="22"/>
      <c r="F866" s="22"/>
      <c r="G866" s="22"/>
      <c r="H866" s="22"/>
      <c r="I866" s="22"/>
      <c r="J866" s="22"/>
      <c r="K866" s="22"/>
      <c r="L866" s="22"/>
      <c r="M866" s="22"/>
      <c r="N866" s="22"/>
      <c r="O866" s="22"/>
      <c r="P866" s="22"/>
      <c r="Q866" s="22"/>
      <c r="R866" s="22"/>
      <c r="S866" s="22"/>
      <c r="T866" s="22"/>
      <c r="U866" s="22"/>
    </row>
    <row r="867" spans="1:21" hidden="1">
      <c r="A867" s="243"/>
      <c r="B867" s="18"/>
      <c r="C867" s="18"/>
      <c r="D867" s="22"/>
      <c r="E867" s="22"/>
      <c r="F867" s="22"/>
      <c r="G867" s="22"/>
      <c r="H867" s="22"/>
      <c r="I867" s="22"/>
      <c r="J867" s="22"/>
      <c r="K867" s="22"/>
      <c r="L867" s="22"/>
      <c r="M867" s="22"/>
      <c r="N867" s="22"/>
      <c r="O867" s="22"/>
      <c r="P867" s="22"/>
      <c r="Q867" s="22"/>
      <c r="R867" s="22"/>
      <c r="S867" s="22"/>
      <c r="T867" s="22"/>
      <c r="U867" s="22"/>
    </row>
    <row r="868" spans="1:21" hidden="1">
      <c r="A868" s="243"/>
      <c r="B868" s="18"/>
      <c r="C868" s="18"/>
      <c r="D868" s="22"/>
      <c r="E868" s="22"/>
      <c r="F868" s="22"/>
      <c r="G868" s="22"/>
      <c r="H868" s="22"/>
      <c r="I868" s="22"/>
      <c r="J868" s="22"/>
      <c r="K868" s="22"/>
      <c r="L868" s="22"/>
      <c r="M868" s="22"/>
      <c r="N868" s="22"/>
      <c r="O868" s="22"/>
      <c r="P868" s="22"/>
      <c r="Q868" s="22"/>
      <c r="R868" s="22"/>
      <c r="S868" s="22"/>
      <c r="T868" s="22"/>
      <c r="U868" s="22"/>
    </row>
    <row r="869" spans="1:21" hidden="1">
      <c r="A869" s="243"/>
      <c r="B869" s="18"/>
      <c r="C869" s="18"/>
      <c r="D869" s="22"/>
      <c r="E869" s="22"/>
      <c r="F869" s="22"/>
      <c r="G869" s="22"/>
      <c r="H869" s="22"/>
      <c r="I869" s="22"/>
      <c r="J869" s="22"/>
      <c r="K869" s="22"/>
      <c r="L869" s="22"/>
      <c r="M869" s="22"/>
      <c r="N869" s="22"/>
      <c r="O869" s="22"/>
      <c r="P869" s="22"/>
      <c r="Q869" s="22"/>
      <c r="R869" s="22"/>
      <c r="S869" s="22"/>
      <c r="T869" s="22"/>
      <c r="U869" s="22"/>
    </row>
    <row r="870" spans="1:21" hidden="1">
      <c r="A870" s="243"/>
      <c r="B870" s="18"/>
      <c r="C870" s="18"/>
      <c r="D870" s="22"/>
      <c r="E870" s="22"/>
      <c r="F870" s="22"/>
      <c r="G870" s="22"/>
      <c r="H870" s="22"/>
      <c r="I870" s="22"/>
      <c r="J870" s="22"/>
      <c r="K870" s="22"/>
      <c r="L870" s="22"/>
      <c r="M870" s="22"/>
      <c r="N870" s="22"/>
      <c r="O870" s="22"/>
      <c r="P870" s="22"/>
      <c r="Q870" s="22"/>
      <c r="R870" s="22"/>
      <c r="S870" s="22"/>
      <c r="T870" s="22"/>
      <c r="U870" s="22"/>
    </row>
    <row r="871" spans="1:21" hidden="1">
      <c r="A871" s="243"/>
      <c r="B871" s="18"/>
      <c r="C871" s="18"/>
      <c r="D871" s="22"/>
      <c r="E871" s="22"/>
      <c r="F871" s="22"/>
      <c r="G871" s="22"/>
      <c r="H871" s="22"/>
      <c r="I871" s="22"/>
      <c r="J871" s="22"/>
      <c r="K871" s="22"/>
      <c r="L871" s="22"/>
      <c r="M871" s="22"/>
      <c r="N871" s="22"/>
      <c r="O871" s="22"/>
      <c r="P871" s="22"/>
      <c r="Q871" s="22"/>
      <c r="R871" s="22"/>
      <c r="S871" s="22"/>
      <c r="T871" s="22"/>
      <c r="U871" s="22"/>
    </row>
    <row r="872" spans="1:21" hidden="1">
      <c r="A872" s="243"/>
      <c r="B872" s="18"/>
      <c r="C872" s="18"/>
      <c r="D872" s="22"/>
      <c r="E872" s="22"/>
      <c r="F872" s="22"/>
      <c r="G872" s="22"/>
      <c r="H872" s="22"/>
      <c r="I872" s="22"/>
      <c r="J872" s="22"/>
      <c r="K872" s="22"/>
      <c r="L872" s="22"/>
      <c r="M872" s="22"/>
      <c r="N872" s="22"/>
      <c r="O872" s="22"/>
      <c r="P872" s="22"/>
      <c r="Q872" s="22"/>
      <c r="R872" s="22"/>
      <c r="S872" s="22"/>
      <c r="T872" s="22"/>
      <c r="U872" s="22"/>
    </row>
    <row r="873" spans="1:21" hidden="1">
      <c r="A873" s="243"/>
      <c r="B873" s="18"/>
      <c r="C873" s="18"/>
      <c r="D873" s="22"/>
      <c r="E873" s="22"/>
      <c r="F873" s="22"/>
      <c r="G873" s="22"/>
      <c r="H873" s="22"/>
      <c r="I873" s="22"/>
      <c r="J873" s="22"/>
      <c r="K873" s="22"/>
      <c r="L873" s="22"/>
      <c r="M873" s="22"/>
      <c r="N873" s="22"/>
      <c r="O873" s="22"/>
      <c r="P873" s="22"/>
      <c r="Q873" s="22"/>
      <c r="R873" s="22"/>
      <c r="S873" s="22"/>
      <c r="T873" s="22"/>
      <c r="U873" s="22"/>
    </row>
    <row r="874" spans="1:21" hidden="1">
      <c r="A874" s="243"/>
      <c r="B874" s="18"/>
      <c r="C874" s="18"/>
      <c r="D874" s="22"/>
      <c r="E874" s="22"/>
      <c r="F874" s="22"/>
      <c r="G874" s="22"/>
      <c r="H874" s="22"/>
      <c r="I874" s="22"/>
      <c r="J874" s="22"/>
      <c r="K874" s="22"/>
      <c r="L874" s="22"/>
      <c r="M874" s="22"/>
      <c r="N874" s="22"/>
      <c r="O874" s="22"/>
      <c r="P874" s="22"/>
      <c r="Q874" s="22"/>
      <c r="R874" s="22"/>
      <c r="S874" s="22"/>
      <c r="T874" s="22"/>
      <c r="U874" s="22"/>
    </row>
    <row r="875" spans="1:21" hidden="1">
      <c r="A875" s="243"/>
      <c r="B875" s="18"/>
      <c r="C875" s="18"/>
      <c r="D875" s="22"/>
      <c r="E875" s="22"/>
      <c r="F875" s="22"/>
      <c r="G875" s="22"/>
      <c r="H875" s="22"/>
      <c r="I875" s="22"/>
      <c r="J875" s="22"/>
      <c r="K875" s="22"/>
      <c r="L875" s="22"/>
      <c r="M875" s="22"/>
      <c r="N875" s="22"/>
      <c r="O875" s="22"/>
      <c r="P875" s="22"/>
      <c r="Q875" s="22"/>
      <c r="R875" s="22"/>
      <c r="S875" s="22"/>
      <c r="T875" s="22"/>
      <c r="U875" s="22"/>
    </row>
    <row r="876" spans="1:21" hidden="1">
      <c r="A876" s="243"/>
      <c r="B876" s="18"/>
      <c r="C876" s="18"/>
      <c r="D876" s="22"/>
      <c r="E876" s="22"/>
      <c r="F876" s="22"/>
      <c r="G876" s="22"/>
      <c r="H876" s="22"/>
      <c r="I876" s="22"/>
      <c r="J876" s="22"/>
      <c r="K876" s="22"/>
      <c r="L876" s="22"/>
      <c r="M876" s="22"/>
      <c r="N876" s="22"/>
      <c r="O876" s="22"/>
      <c r="P876" s="22"/>
      <c r="Q876" s="22"/>
      <c r="R876" s="22"/>
      <c r="S876" s="22"/>
      <c r="T876" s="22"/>
      <c r="U876" s="22"/>
    </row>
    <row r="877" spans="1:21" hidden="1">
      <c r="A877" s="243"/>
      <c r="B877" s="18"/>
      <c r="C877" s="18"/>
      <c r="D877" s="22"/>
      <c r="E877" s="22"/>
      <c r="F877" s="22"/>
      <c r="G877" s="22"/>
      <c r="H877" s="22"/>
      <c r="I877" s="22"/>
      <c r="J877" s="22"/>
      <c r="K877" s="22"/>
      <c r="L877" s="22"/>
      <c r="M877" s="22"/>
      <c r="N877" s="22"/>
      <c r="O877" s="22"/>
      <c r="P877" s="22"/>
      <c r="Q877" s="22"/>
      <c r="R877" s="22"/>
      <c r="S877" s="22"/>
      <c r="T877" s="22"/>
      <c r="U877" s="22"/>
    </row>
    <row r="878" spans="1:21" hidden="1">
      <c r="A878" s="243"/>
      <c r="B878" s="18"/>
      <c r="C878" s="18"/>
      <c r="D878" s="22"/>
      <c r="E878" s="22"/>
      <c r="F878" s="22"/>
      <c r="G878" s="22"/>
      <c r="H878" s="22"/>
      <c r="I878" s="22"/>
      <c r="J878" s="22"/>
      <c r="K878" s="22"/>
      <c r="L878" s="22"/>
      <c r="M878" s="22"/>
      <c r="N878" s="22"/>
      <c r="O878" s="22"/>
      <c r="P878" s="22"/>
      <c r="Q878" s="22"/>
      <c r="R878" s="22"/>
      <c r="S878" s="22"/>
      <c r="T878" s="22"/>
      <c r="U878" s="22"/>
    </row>
    <row r="879" spans="1:21" hidden="1">
      <c r="A879" s="243"/>
      <c r="B879" s="18"/>
      <c r="C879" s="18"/>
      <c r="D879" s="22"/>
      <c r="E879" s="22"/>
      <c r="F879" s="22"/>
      <c r="G879" s="22"/>
      <c r="H879" s="22"/>
      <c r="I879" s="22"/>
      <c r="J879" s="22"/>
      <c r="K879" s="22"/>
      <c r="L879" s="22"/>
      <c r="M879" s="22"/>
      <c r="N879" s="22"/>
      <c r="O879" s="22"/>
      <c r="P879" s="22"/>
      <c r="Q879" s="22"/>
      <c r="R879" s="22"/>
      <c r="S879" s="22"/>
      <c r="T879" s="22"/>
      <c r="U879" s="22"/>
    </row>
    <row r="880" spans="1:21" hidden="1">
      <c r="A880" s="243"/>
      <c r="B880" s="18"/>
      <c r="C880" s="18"/>
      <c r="D880" s="22"/>
      <c r="E880" s="22"/>
      <c r="F880" s="22"/>
      <c r="G880" s="22"/>
      <c r="H880" s="22"/>
      <c r="I880" s="22"/>
      <c r="J880" s="22"/>
      <c r="K880" s="22"/>
      <c r="L880" s="22"/>
      <c r="M880" s="22"/>
      <c r="N880" s="22"/>
      <c r="O880" s="22"/>
      <c r="P880" s="22"/>
      <c r="Q880" s="22"/>
      <c r="R880" s="22"/>
      <c r="S880" s="22"/>
      <c r="T880" s="22"/>
      <c r="U880" s="22"/>
    </row>
    <row r="881" spans="1:21" hidden="1">
      <c r="A881" s="243"/>
      <c r="B881" s="18"/>
      <c r="C881" s="18"/>
      <c r="D881" s="22"/>
      <c r="E881" s="22"/>
      <c r="F881" s="22"/>
      <c r="G881" s="22"/>
      <c r="H881" s="22"/>
      <c r="I881" s="22"/>
      <c r="J881" s="22"/>
      <c r="K881" s="22"/>
      <c r="L881" s="22"/>
      <c r="M881" s="22"/>
      <c r="N881" s="22"/>
      <c r="O881" s="22"/>
      <c r="P881" s="22"/>
      <c r="Q881" s="22"/>
      <c r="R881" s="22"/>
      <c r="S881" s="22"/>
      <c r="T881" s="22"/>
      <c r="U881" s="22"/>
    </row>
    <row r="882" spans="1:21" hidden="1">
      <c r="A882" s="243"/>
      <c r="B882" s="18"/>
      <c r="C882" s="18"/>
      <c r="D882" s="22"/>
      <c r="E882" s="22"/>
      <c r="F882" s="22"/>
      <c r="G882" s="22"/>
      <c r="H882" s="22"/>
      <c r="I882" s="22"/>
      <c r="J882" s="22"/>
      <c r="K882" s="22"/>
      <c r="L882" s="22"/>
      <c r="M882" s="22"/>
      <c r="N882" s="22"/>
      <c r="O882" s="22"/>
      <c r="P882" s="22"/>
      <c r="Q882" s="22"/>
      <c r="R882" s="22"/>
      <c r="S882" s="22"/>
      <c r="T882" s="22"/>
      <c r="U882" s="22"/>
    </row>
    <row r="883" spans="1:21" hidden="1">
      <c r="A883" s="243"/>
      <c r="B883" s="18"/>
      <c r="C883" s="18"/>
      <c r="D883" s="22"/>
      <c r="E883" s="22"/>
      <c r="F883" s="22"/>
      <c r="G883" s="22"/>
      <c r="H883" s="22"/>
      <c r="I883" s="22"/>
      <c r="J883" s="22"/>
      <c r="K883" s="22"/>
      <c r="L883" s="22"/>
      <c r="M883" s="22"/>
      <c r="N883" s="22"/>
      <c r="O883" s="22"/>
      <c r="P883" s="22"/>
      <c r="Q883" s="22"/>
      <c r="R883" s="22"/>
      <c r="S883" s="22"/>
      <c r="T883" s="22"/>
      <c r="U883" s="22"/>
    </row>
    <row r="884" spans="1:21" hidden="1">
      <c r="A884" s="243"/>
      <c r="B884" s="18"/>
      <c r="C884" s="18"/>
      <c r="D884" s="22"/>
      <c r="E884" s="22"/>
      <c r="F884" s="22"/>
      <c r="G884" s="22"/>
      <c r="H884" s="22"/>
      <c r="I884" s="22"/>
      <c r="J884" s="22"/>
      <c r="K884" s="22"/>
      <c r="L884" s="22"/>
      <c r="M884" s="22"/>
      <c r="N884" s="22"/>
      <c r="O884" s="22"/>
      <c r="P884" s="22"/>
      <c r="Q884" s="22"/>
      <c r="R884" s="22"/>
      <c r="S884" s="22"/>
      <c r="T884" s="22"/>
      <c r="U884" s="22"/>
    </row>
    <row r="885" spans="1:21" hidden="1">
      <c r="A885" s="243"/>
      <c r="B885" s="18"/>
      <c r="C885" s="18"/>
      <c r="D885" s="22"/>
      <c r="E885" s="22"/>
      <c r="F885" s="22"/>
      <c r="G885" s="22"/>
      <c r="H885" s="22"/>
      <c r="I885" s="22"/>
      <c r="J885" s="22"/>
      <c r="K885" s="22"/>
      <c r="L885" s="22"/>
      <c r="M885" s="22"/>
      <c r="N885" s="22"/>
      <c r="O885" s="22"/>
      <c r="P885" s="22"/>
      <c r="Q885" s="22"/>
      <c r="R885" s="22"/>
      <c r="S885" s="22"/>
      <c r="T885" s="22"/>
      <c r="U885" s="22"/>
    </row>
    <row r="886" spans="1:21" hidden="1">
      <c r="A886" s="243"/>
      <c r="B886" s="18"/>
      <c r="C886" s="18"/>
      <c r="D886" s="22"/>
      <c r="E886" s="22"/>
      <c r="F886" s="22"/>
      <c r="G886" s="22"/>
      <c r="H886" s="22"/>
      <c r="I886" s="22"/>
      <c r="J886" s="22"/>
      <c r="K886" s="22"/>
      <c r="L886" s="22"/>
      <c r="M886" s="22"/>
      <c r="N886" s="22"/>
      <c r="O886" s="22"/>
      <c r="P886" s="22"/>
      <c r="Q886" s="22"/>
      <c r="R886" s="22"/>
      <c r="S886" s="22"/>
      <c r="T886" s="22"/>
      <c r="U886" s="22"/>
    </row>
    <row r="887" spans="1:21" hidden="1">
      <c r="A887" s="243"/>
      <c r="B887" s="18"/>
      <c r="C887" s="18"/>
      <c r="D887" s="22"/>
      <c r="E887" s="22"/>
      <c r="F887" s="22"/>
      <c r="G887" s="22"/>
      <c r="H887" s="22"/>
      <c r="I887" s="22"/>
      <c r="J887" s="22"/>
      <c r="K887" s="22"/>
      <c r="L887" s="22"/>
      <c r="M887" s="22"/>
      <c r="N887" s="22"/>
      <c r="O887" s="22"/>
      <c r="P887" s="22"/>
      <c r="Q887" s="22"/>
      <c r="R887" s="22"/>
      <c r="S887" s="22"/>
      <c r="T887" s="22"/>
      <c r="U887" s="22"/>
    </row>
    <row r="888" spans="1:21" hidden="1">
      <c r="A888" s="243"/>
      <c r="B888" s="18"/>
      <c r="C888" s="18"/>
      <c r="D888" s="22"/>
      <c r="E888" s="22"/>
      <c r="F888" s="22"/>
      <c r="G888" s="22"/>
      <c r="H888" s="22"/>
      <c r="I888" s="22"/>
      <c r="J888" s="22"/>
      <c r="K888" s="22"/>
      <c r="L888" s="22"/>
      <c r="M888" s="22"/>
      <c r="N888" s="22"/>
      <c r="O888" s="22"/>
      <c r="P888" s="22"/>
      <c r="Q888" s="22"/>
      <c r="R888" s="22"/>
      <c r="S888" s="22"/>
      <c r="T888" s="22"/>
      <c r="U888" s="22"/>
    </row>
    <row r="889" spans="1:21" hidden="1">
      <c r="A889" s="243"/>
      <c r="B889" s="18"/>
      <c r="C889" s="18"/>
      <c r="D889" s="22"/>
      <c r="E889" s="22"/>
      <c r="F889" s="22"/>
      <c r="G889" s="22"/>
      <c r="H889" s="22"/>
      <c r="I889" s="22"/>
      <c r="J889" s="22"/>
      <c r="K889" s="22"/>
      <c r="L889" s="22"/>
      <c r="M889" s="22"/>
      <c r="N889" s="22"/>
      <c r="O889" s="22"/>
      <c r="P889" s="22"/>
      <c r="Q889" s="22"/>
      <c r="R889" s="22"/>
      <c r="S889" s="22"/>
      <c r="T889" s="22"/>
      <c r="U889" s="22"/>
    </row>
    <row r="890" spans="1:21" hidden="1">
      <c r="A890" s="243"/>
      <c r="B890" s="18"/>
      <c r="C890" s="18"/>
      <c r="D890" s="22"/>
      <c r="E890" s="22"/>
      <c r="F890" s="22"/>
      <c r="G890" s="22"/>
      <c r="H890" s="22"/>
      <c r="I890" s="22"/>
      <c r="J890" s="22"/>
      <c r="K890" s="22"/>
      <c r="L890" s="22"/>
      <c r="M890" s="22"/>
      <c r="N890" s="22"/>
      <c r="O890" s="22"/>
      <c r="P890" s="22"/>
      <c r="Q890" s="22"/>
      <c r="R890" s="22"/>
      <c r="S890" s="22"/>
      <c r="T890" s="22"/>
      <c r="U890" s="22"/>
    </row>
    <row r="891" spans="1:21" hidden="1">
      <c r="A891" s="243"/>
      <c r="B891" s="18"/>
      <c r="C891" s="18"/>
      <c r="D891" s="22"/>
      <c r="E891" s="22"/>
      <c r="F891" s="22"/>
      <c r="G891" s="22"/>
      <c r="H891" s="22"/>
      <c r="I891" s="22"/>
      <c r="J891" s="22"/>
      <c r="K891" s="22"/>
      <c r="L891" s="22"/>
      <c r="M891" s="22"/>
      <c r="N891" s="22"/>
      <c r="O891" s="22"/>
      <c r="P891" s="22"/>
      <c r="Q891" s="22"/>
      <c r="R891" s="22"/>
      <c r="S891" s="22"/>
      <c r="T891" s="22"/>
      <c r="U891" s="22"/>
    </row>
    <row r="892" spans="1:21" hidden="1">
      <c r="A892" s="243"/>
      <c r="B892" s="18"/>
      <c r="C892" s="18"/>
      <c r="D892" s="22"/>
      <c r="E892" s="22"/>
      <c r="F892" s="22"/>
      <c r="G892" s="22"/>
      <c r="H892" s="22"/>
      <c r="I892" s="22"/>
      <c r="J892" s="22"/>
      <c r="K892" s="22"/>
      <c r="L892" s="22"/>
      <c r="M892" s="22"/>
      <c r="N892" s="22"/>
      <c r="O892" s="22"/>
      <c r="P892" s="22"/>
      <c r="Q892" s="22"/>
      <c r="R892" s="22"/>
      <c r="S892" s="22"/>
      <c r="T892" s="22"/>
      <c r="U892" s="22"/>
    </row>
    <row r="893" spans="1:21" hidden="1">
      <c r="A893" s="243"/>
      <c r="B893" s="18"/>
      <c r="C893" s="18"/>
      <c r="D893" s="22"/>
      <c r="E893" s="22"/>
      <c r="F893" s="22"/>
      <c r="G893" s="22"/>
      <c r="H893" s="22"/>
      <c r="I893" s="22"/>
      <c r="J893" s="22"/>
      <c r="K893" s="22"/>
      <c r="L893" s="22"/>
      <c r="M893" s="22"/>
      <c r="N893" s="22"/>
      <c r="O893" s="22"/>
      <c r="P893" s="22"/>
      <c r="Q893" s="22"/>
      <c r="R893" s="22"/>
      <c r="S893" s="22"/>
      <c r="T893" s="22"/>
      <c r="U893" s="22"/>
    </row>
    <row r="894" spans="1:21" hidden="1">
      <c r="A894" s="243"/>
      <c r="B894" s="18"/>
      <c r="C894" s="18"/>
      <c r="D894" s="22"/>
      <c r="E894" s="22"/>
      <c r="F894" s="22"/>
      <c r="G894" s="22"/>
      <c r="H894" s="22"/>
      <c r="I894" s="22"/>
      <c r="J894" s="22"/>
      <c r="K894" s="22"/>
      <c r="L894" s="22"/>
      <c r="M894" s="22"/>
      <c r="N894" s="22"/>
      <c r="O894" s="22"/>
      <c r="P894" s="22"/>
      <c r="Q894" s="22"/>
      <c r="R894" s="22"/>
      <c r="S894" s="22"/>
      <c r="T894" s="22"/>
      <c r="U894" s="22"/>
    </row>
    <row r="895" spans="1:21" hidden="1">
      <c r="A895" s="243"/>
      <c r="B895" s="18"/>
      <c r="C895" s="18"/>
      <c r="D895" s="22"/>
      <c r="E895" s="22"/>
      <c r="F895" s="22"/>
      <c r="G895" s="22"/>
      <c r="H895" s="22"/>
      <c r="I895" s="22"/>
      <c r="J895" s="22"/>
      <c r="K895" s="22"/>
      <c r="L895" s="22"/>
      <c r="M895" s="22"/>
      <c r="N895" s="22"/>
      <c r="O895" s="22"/>
      <c r="P895" s="22"/>
      <c r="Q895" s="22"/>
      <c r="R895" s="22"/>
      <c r="S895" s="22"/>
      <c r="T895" s="22"/>
      <c r="U895" s="22"/>
    </row>
    <row r="896" spans="1:21" hidden="1">
      <c r="A896" s="243"/>
      <c r="B896" s="18"/>
      <c r="C896" s="18"/>
      <c r="D896" s="22"/>
      <c r="E896" s="22"/>
      <c r="F896" s="22"/>
      <c r="G896" s="22"/>
      <c r="H896" s="22"/>
      <c r="I896" s="22"/>
      <c r="J896" s="22"/>
      <c r="K896" s="22"/>
      <c r="L896" s="22"/>
      <c r="M896" s="22"/>
      <c r="N896" s="22"/>
      <c r="O896" s="22"/>
      <c r="P896" s="22"/>
      <c r="Q896" s="22"/>
      <c r="R896" s="22"/>
      <c r="S896" s="22"/>
      <c r="T896" s="22"/>
      <c r="U896" s="22"/>
    </row>
    <row r="897" spans="1:21" hidden="1">
      <c r="A897" s="243"/>
      <c r="B897" s="18"/>
      <c r="C897" s="18"/>
      <c r="D897" s="22"/>
      <c r="E897" s="22"/>
      <c r="F897" s="22"/>
      <c r="G897" s="22"/>
      <c r="H897" s="22"/>
      <c r="I897" s="22"/>
      <c r="J897" s="22"/>
      <c r="K897" s="22"/>
      <c r="L897" s="22"/>
      <c r="M897" s="22"/>
      <c r="N897" s="22"/>
      <c r="O897" s="22"/>
      <c r="P897" s="22"/>
      <c r="Q897" s="22"/>
      <c r="R897" s="22"/>
      <c r="S897" s="22"/>
      <c r="T897" s="22"/>
      <c r="U897" s="22"/>
    </row>
    <row r="898" spans="1:21" hidden="1">
      <c r="A898" s="243"/>
      <c r="B898" s="18"/>
      <c r="C898" s="18"/>
      <c r="D898" s="22"/>
      <c r="E898" s="22"/>
      <c r="F898" s="22"/>
      <c r="G898" s="22"/>
      <c r="H898" s="22"/>
      <c r="I898" s="22"/>
      <c r="J898" s="22"/>
      <c r="K898" s="22"/>
      <c r="L898" s="22"/>
      <c r="M898" s="22"/>
      <c r="N898" s="22"/>
      <c r="O898" s="22"/>
      <c r="P898" s="22"/>
      <c r="Q898" s="22"/>
      <c r="R898" s="22"/>
      <c r="S898" s="22"/>
      <c r="T898" s="22"/>
      <c r="U898" s="22"/>
    </row>
    <row r="899" spans="1:21" hidden="1">
      <c r="A899" s="243"/>
      <c r="B899" s="18"/>
      <c r="C899" s="18"/>
      <c r="D899" s="22"/>
      <c r="E899" s="22"/>
      <c r="F899" s="22"/>
      <c r="G899" s="22"/>
      <c r="H899" s="22"/>
      <c r="I899" s="22"/>
      <c r="J899" s="22"/>
      <c r="K899" s="22"/>
      <c r="L899" s="22"/>
      <c r="M899" s="22"/>
      <c r="N899" s="22"/>
      <c r="O899" s="22"/>
      <c r="P899" s="22"/>
      <c r="Q899" s="22"/>
      <c r="R899" s="22"/>
      <c r="S899" s="22"/>
      <c r="T899" s="22"/>
      <c r="U899" s="22"/>
    </row>
    <row r="900" spans="1:21" hidden="1">
      <c r="A900" s="243"/>
      <c r="B900" s="18"/>
      <c r="C900" s="18"/>
      <c r="D900" s="22"/>
      <c r="E900" s="22"/>
      <c r="F900" s="22"/>
      <c r="G900" s="22"/>
      <c r="H900" s="22"/>
      <c r="I900" s="22"/>
      <c r="J900" s="22"/>
      <c r="K900" s="22"/>
      <c r="L900" s="22"/>
      <c r="M900" s="22"/>
      <c r="N900" s="22"/>
      <c r="O900" s="22"/>
      <c r="P900" s="22"/>
      <c r="Q900" s="22"/>
      <c r="R900" s="22"/>
      <c r="S900" s="22"/>
      <c r="T900" s="22"/>
      <c r="U900" s="22"/>
    </row>
    <row r="901" spans="1:21" hidden="1">
      <c r="A901" s="243"/>
      <c r="B901" s="18"/>
      <c r="C901" s="18"/>
      <c r="D901" s="22"/>
      <c r="E901" s="22"/>
      <c r="F901" s="22"/>
      <c r="G901" s="22"/>
      <c r="H901" s="22"/>
      <c r="I901" s="22"/>
      <c r="J901" s="22"/>
      <c r="K901" s="22"/>
      <c r="L901" s="22"/>
      <c r="M901" s="22"/>
      <c r="N901" s="22"/>
      <c r="O901" s="22"/>
      <c r="P901" s="22"/>
      <c r="Q901" s="22"/>
      <c r="R901" s="22"/>
      <c r="S901" s="22"/>
      <c r="T901" s="22"/>
      <c r="U901" s="22"/>
    </row>
    <row r="902" spans="1:21" hidden="1">
      <c r="A902" s="243"/>
      <c r="B902" s="18"/>
      <c r="C902" s="18"/>
      <c r="D902" s="22"/>
      <c r="E902" s="22"/>
      <c r="F902" s="22"/>
      <c r="G902" s="22"/>
      <c r="H902" s="22"/>
      <c r="I902" s="22"/>
      <c r="J902" s="22"/>
      <c r="K902" s="22"/>
      <c r="L902" s="22"/>
      <c r="M902" s="22"/>
      <c r="N902" s="22"/>
      <c r="O902" s="22"/>
      <c r="P902" s="22"/>
      <c r="Q902" s="22"/>
      <c r="R902" s="22"/>
      <c r="S902" s="22"/>
      <c r="T902" s="22"/>
      <c r="U902" s="22"/>
    </row>
    <row r="903" spans="1:21" hidden="1">
      <c r="A903" s="243"/>
      <c r="B903" s="18"/>
      <c r="C903" s="18"/>
      <c r="D903" s="22"/>
      <c r="E903" s="22"/>
      <c r="F903" s="22"/>
      <c r="G903" s="22"/>
      <c r="H903" s="22"/>
      <c r="I903" s="22"/>
      <c r="J903" s="22"/>
      <c r="K903" s="22"/>
      <c r="L903" s="22"/>
      <c r="M903" s="22"/>
      <c r="N903" s="22"/>
      <c r="O903" s="22"/>
      <c r="P903" s="22"/>
      <c r="Q903" s="22"/>
      <c r="R903" s="22"/>
      <c r="S903" s="22"/>
      <c r="T903" s="22"/>
      <c r="U903" s="22"/>
    </row>
    <row r="904" spans="1:21" hidden="1">
      <c r="A904" s="243"/>
      <c r="B904" s="18"/>
      <c r="C904" s="18"/>
      <c r="D904" s="22"/>
      <c r="E904" s="22"/>
      <c r="F904" s="22"/>
      <c r="G904" s="22"/>
      <c r="H904" s="22"/>
      <c r="I904" s="22"/>
      <c r="J904" s="22"/>
      <c r="K904" s="22"/>
      <c r="L904" s="22"/>
      <c r="M904" s="22"/>
      <c r="N904" s="22"/>
      <c r="O904" s="22"/>
      <c r="P904" s="22"/>
      <c r="Q904" s="22"/>
      <c r="R904" s="22"/>
      <c r="S904" s="22"/>
      <c r="T904" s="22"/>
      <c r="U904" s="22"/>
    </row>
    <row r="905" spans="1:21" hidden="1">
      <c r="A905" s="243"/>
      <c r="B905" s="18"/>
      <c r="C905" s="18"/>
      <c r="D905" s="22"/>
      <c r="E905" s="22"/>
      <c r="F905" s="22"/>
      <c r="G905" s="22"/>
      <c r="H905" s="22"/>
      <c r="I905" s="22"/>
      <c r="J905" s="22"/>
      <c r="K905" s="22"/>
      <c r="L905" s="22"/>
      <c r="M905" s="22"/>
      <c r="N905" s="22"/>
      <c r="O905" s="22"/>
      <c r="P905" s="22"/>
      <c r="Q905" s="22"/>
      <c r="R905" s="22"/>
      <c r="S905" s="22"/>
      <c r="T905" s="22"/>
      <c r="U905" s="22"/>
    </row>
    <row r="906" spans="1:21" hidden="1">
      <c r="A906" s="243"/>
      <c r="B906" s="18"/>
      <c r="C906" s="18"/>
      <c r="D906" s="22"/>
      <c r="E906" s="22"/>
      <c r="F906" s="22"/>
      <c r="G906" s="22"/>
      <c r="H906" s="22"/>
      <c r="I906" s="22"/>
      <c r="J906" s="22"/>
      <c r="K906" s="22"/>
      <c r="L906" s="22"/>
      <c r="M906" s="22"/>
      <c r="N906" s="22"/>
      <c r="O906" s="22"/>
      <c r="P906" s="22"/>
      <c r="Q906" s="22"/>
      <c r="R906" s="22"/>
      <c r="S906" s="22"/>
      <c r="T906" s="22"/>
      <c r="U906" s="22"/>
    </row>
    <row r="907" spans="1:21" hidden="1">
      <c r="A907" s="243"/>
      <c r="B907" s="18"/>
      <c r="C907" s="18"/>
      <c r="D907" s="22"/>
      <c r="E907" s="22"/>
      <c r="F907" s="22"/>
      <c r="G907" s="22"/>
      <c r="H907" s="22"/>
      <c r="I907" s="22"/>
      <c r="J907" s="22"/>
      <c r="K907" s="22"/>
      <c r="L907" s="22"/>
      <c r="M907" s="22"/>
      <c r="N907" s="22"/>
      <c r="O907" s="22"/>
      <c r="P907" s="22"/>
      <c r="Q907" s="22"/>
      <c r="R907" s="22"/>
      <c r="S907" s="22"/>
      <c r="T907" s="22"/>
      <c r="U907" s="22"/>
    </row>
    <row r="908" spans="1:21" hidden="1">
      <c r="A908" s="243"/>
      <c r="B908" s="18"/>
      <c r="C908" s="18"/>
      <c r="D908" s="22"/>
      <c r="E908" s="22"/>
      <c r="F908" s="22"/>
      <c r="G908" s="22"/>
      <c r="H908" s="22"/>
      <c r="I908" s="22"/>
      <c r="J908" s="22"/>
      <c r="K908" s="22"/>
      <c r="L908" s="22"/>
      <c r="M908" s="22"/>
      <c r="N908" s="22"/>
      <c r="O908" s="22"/>
      <c r="P908" s="22"/>
      <c r="Q908" s="22"/>
      <c r="R908" s="22"/>
      <c r="S908" s="22"/>
      <c r="T908" s="22"/>
      <c r="U908" s="22"/>
    </row>
    <row r="909" spans="1:21" hidden="1">
      <c r="A909" s="243"/>
      <c r="B909" s="18"/>
      <c r="C909" s="18"/>
      <c r="D909" s="22"/>
      <c r="E909" s="22"/>
      <c r="F909" s="22"/>
      <c r="G909" s="22"/>
      <c r="H909" s="22"/>
      <c r="I909" s="22"/>
      <c r="J909" s="22"/>
      <c r="K909" s="22"/>
      <c r="L909" s="22"/>
      <c r="M909" s="22"/>
      <c r="N909" s="22"/>
      <c r="O909" s="22"/>
      <c r="P909" s="22"/>
      <c r="Q909" s="22"/>
      <c r="R909" s="22"/>
      <c r="S909" s="22"/>
      <c r="T909" s="22"/>
      <c r="U909" s="22"/>
    </row>
    <row r="910" spans="1:21" hidden="1">
      <c r="A910" s="243"/>
      <c r="B910" s="18"/>
      <c r="C910" s="18"/>
      <c r="D910" s="22"/>
      <c r="E910" s="22"/>
      <c r="F910" s="22"/>
      <c r="G910" s="22"/>
      <c r="H910" s="22"/>
      <c r="I910" s="22"/>
      <c r="J910" s="22"/>
      <c r="K910" s="22"/>
      <c r="L910" s="22"/>
      <c r="M910" s="22"/>
      <c r="N910" s="22"/>
      <c r="O910" s="22"/>
      <c r="P910" s="22"/>
      <c r="Q910" s="22"/>
      <c r="R910" s="22"/>
      <c r="S910" s="22"/>
      <c r="T910" s="22"/>
      <c r="U910" s="22"/>
    </row>
    <row r="911" spans="1:21" hidden="1">
      <c r="A911" s="243"/>
      <c r="B911" s="18"/>
      <c r="C911" s="18"/>
      <c r="D911" s="22"/>
      <c r="E911" s="22"/>
      <c r="F911" s="22"/>
      <c r="G911" s="22"/>
      <c r="H911" s="22"/>
      <c r="I911" s="22"/>
      <c r="J911" s="22"/>
      <c r="K911" s="22"/>
      <c r="L911" s="22"/>
      <c r="M911" s="22"/>
      <c r="N911" s="22"/>
      <c r="O911" s="22"/>
      <c r="P911" s="22"/>
      <c r="Q911" s="22"/>
      <c r="R911" s="22"/>
      <c r="S911" s="22"/>
      <c r="T911" s="22"/>
      <c r="U911" s="22"/>
    </row>
    <row r="912" spans="1:21" hidden="1">
      <c r="A912" s="243"/>
      <c r="B912" s="18"/>
      <c r="C912" s="18"/>
      <c r="D912" s="22"/>
      <c r="E912" s="22"/>
      <c r="F912" s="22"/>
      <c r="G912" s="22"/>
      <c r="H912" s="22"/>
      <c r="I912" s="22"/>
      <c r="J912" s="22"/>
      <c r="K912" s="22"/>
      <c r="L912" s="22"/>
      <c r="M912" s="22"/>
      <c r="N912" s="22"/>
      <c r="O912" s="22"/>
      <c r="P912" s="22"/>
      <c r="Q912" s="22"/>
      <c r="R912" s="22"/>
      <c r="S912" s="22"/>
      <c r="T912" s="22"/>
      <c r="U912" s="22"/>
    </row>
    <row r="913" spans="1:21" hidden="1">
      <c r="A913" s="243"/>
      <c r="B913" s="18"/>
      <c r="C913" s="18"/>
      <c r="D913" s="22"/>
      <c r="E913" s="22"/>
      <c r="F913" s="22"/>
      <c r="G913" s="22"/>
      <c r="H913" s="22"/>
      <c r="I913" s="22"/>
      <c r="J913" s="22"/>
      <c r="K913" s="22"/>
      <c r="L913" s="22"/>
      <c r="M913" s="22"/>
      <c r="N913" s="22"/>
      <c r="O913" s="22"/>
      <c r="P913" s="22"/>
      <c r="Q913" s="22"/>
      <c r="R913" s="22"/>
      <c r="S913" s="22"/>
      <c r="T913" s="22"/>
      <c r="U913" s="22"/>
    </row>
    <row r="914" spans="1:21" hidden="1">
      <c r="A914" s="243"/>
      <c r="B914" s="18"/>
      <c r="C914" s="18"/>
      <c r="D914" s="22"/>
      <c r="E914" s="22"/>
      <c r="F914" s="22"/>
      <c r="G914" s="22"/>
      <c r="H914" s="22"/>
      <c r="I914" s="22"/>
      <c r="J914" s="22"/>
      <c r="K914" s="22"/>
      <c r="L914" s="22"/>
      <c r="M914" s="22"/>
      <c r="N914" s="22"/>
      <c r="O914" s="22"/>
      <c r="P914" s="22"/>
      <c r="Q914" s="22"/>
      <c r="R914" s="22"/>
      <c r="S914" s="22"/>
      <c r="T914" s="22"/>
      <c r="U914" s="22"/>
    </row>
    <row r="915" spans="1:21" hidden="1">
      <c r="A915" s="243"/>
      <c r="B915" s="18"/>
      <c r="C915" s="18"/>
      <c r="D915" s="22"/>
      <c r="E915" s="22"/>
      <c r="F915" s="22"/>
      <c r="G915" s="22"/>
      <c r="H915" s="22"/>
      <c r="I915" s="22"/>
      <c r="J915" s="22"/>
      <c r="K915" s="22"/>
      <c r="L915" s="22"/>
      <c r="M915" s="22"/>
      <c r="N915" s="22"/>
      <c r="O915" s="22"/>
      <c r="P915" s="22"/>
      <c r="Q915" s="22"/>
      <c r="R915" s="22"/>
      <c r="S915" s="22"/>
      <c r="T915" s="22"/>
      <c r="U915" s="22"/>
    </row>
    <row r="916" spans="1:21" hidden="1">
      <c r="A916" s="243"/>
      <c r="B916" s="18"/>
      <c r="C916" s="18"/>
      <c r="D916" s="22"/>
      <c r="E916" s="22"/>
      <c r="F916" s="22"/>
      <c r="G916" s="22"/>
      <c r="H916" s="22"/>
      <c r="I916" s="22"/>
      <c r="J916" s="22"/>
      <c r="K916" s="22"/>
      <c r="L916" s="22"/>
      <c r="M916" s="22"/>
      <c r="N916" s="22"/>
      <c r="O916" s="22"/>
      <c r="P916" s="22"/>
      <c r="Q916" s="22"/>
      <c r="R916" s="22"/>
      <c r="S916" s="22"/>
      <c r="T916" s="22"/>
      <c r="U916" s="22"/>
    </row>
    <row r="917" spans="1:21" hidden="1">
      <c r="A917" s="243"/>
      <c r="B917" s="18"/>
      <c r="C917" s="18"/>
      <c r="D917" s="22"/>
      <c r="E917" s="22"/>
      <c r="F917" s="22"/>
      <c r="G917" s="22"/>
      <c r="H917" s="22"/>
      <c r="I917" s="22"/>
      <c r="J917" s="22"/>
      <c r="K917" s="22"/>
      <c r="L917" s="22"/>
      <c r="M917" s="22"/>
      <c r="N917" s="22"/>
      <c r="O917" s="22"/>
      <c r="P917" s="22"/>
      <c r="Q917" s="22"/>
      <c r="R917" s="22"/>
      <c r="S917" s="22"/>
      <c r="T917" s="22"/>
      <c r="U917" s="22"/>
    </row>
    <row r="918" spans="1:21" hidden="1">
      <c r="A918" s="243"/>
      <c r="B918" s="18"/>
      <c r="C918" s="18"/>
      <c r="D918" s="22"/>
      <c r="E918" s="22"/>
      <c r="F918" s="22"/>
      <c r="G918" s="22"/>
      <c r="H918" s="22"/>
      <c r="I918" s="22"/>
      <c r="J918" s="22"/>
      <c r="K918" s="22"/>
      <c r="L918" s="22"/>
      <c r="M918" s="22"/>
      <c r="N918" s="22"/>
      <c r="O918" s="22"/>
      <c r="P918" s="22"/>
      <c r="Q918" s="22"/>
      <c r="R918" s="22"/>
      <c r="S918" s="22"/>
      <c r="T918" s="22"/>
      <c r="U918" s="22"/>
    </row>
    <row r="919" spans="1:21" hidden="1">
      <c r="A919" s="243"/>
      <c r="B919" s="18"/>
      <c r="C919" s="18"/>
      <c r="D919" s="22"/>
      <c r="E919" s="22"/>
      <c r="F919" s="22"/>
      <c r="G919" s="22"/>
      <c r="H919" s="22"/>
      <c r="I919" s="22"/>
      <c r="J919" s="22"/>
      <c r="K919" s="22"/>
      <c r="L919" s="22"/>
      <c r="M919" s="22"/>
      <c r="N919" s="22"/>
      <c r="O919" s="22"/>
      <c r="P919" s="22"/>
      <c r="Q919" s="22"/>
      <c r="R919" s="22"/>
      <c r="S919" s="22"/>
      <c r="T919" s="22"/>
      <c r="U919" s="22"/>
    </row>
    <row r="920" spans="1:21" hidden="1">
      <c r="A920" s="243"/>
      <c r="B920" s="18"/>
      <c r="C920" s="18"/>
      <c r="D920" s="22"/>
      <c r="E920" s="22"/>
      <c r="F920" s="22"/>
      <c r="G920" s="22"/>
      <c r="H920" s="22"/>
      <c r="I920" s="22"/>
      <c r="J920" s="22"/>
      <c r="K920" s="22"/>
      <c r="L920" s="22"/>
      <c r="M920" s="22"/>
      <c r="N920" s="22"/>
      <c r="O920" s="22"/>
      <c r="P920" s="22"/>
      <c r="Q920" s="22"/>
      <c r="R920" s="22"/>
      <c r="S920" s="22"/>
      <c r="T920" s="22"/>
      <c r="U920" s="22"/>
    </row>
    <row r="921" spans="1:21" hidden="1">
      <c r="A921" s="243"/>
      <c r="B921" s="18"/>
      <c r="C921" s="18"/>
      <c r="D921" s="22"/>
      <c r="E921" s="22"/>
      <c r="F921" s="22"/>
      <c r="G921" s="22"/>
      <c r="H921" s="22"/>
      <c r="I921" s="22"/>
      <c r="J921" s="22"/>
      <c r="K921" s="22"/>
      <c r="L921" s="22"/>
      <c r="M921" s="22"/>
      <c r="N921" s="22"/>
      <c r="O921" s="22"/>
      <c r="P921" s="22"/>
      <c r="Q921" s="22"/>
      <c r="R921" s="22"/>
      <c r="S921" s="22"/>
      <c r="T921" s="22"/>
      <c r="U921" s="22"/>
    </row>
    <row r="922" spans="1:21" hidden="1">
      <c r="A922" s="243"/>
      <c r="B922" s="18"/>
      <c r="C922" s="18"/>
      <c r="D922" s="22"/>
      <c r="E922" s="22"/>
      <c r="F922" s="22"/>
      <c r="G922" s="22"/>
      <c r="H922" s="22"/>
      <c r="I922" s="22"/>
      <c r="J922" s="22"/>
      <c r="K922" s="22"/>
      <c r="L922" s="22"/>
      <c r="M922" s="22"/>
      <c r="N922" s="22"/>
      <c r="O922" s="22"/>
      <c r="P922" s="22"/>
      <c r="Q922" s="22"/>
      <c r="R922" s="22"/>
      <c r="S922" s="22"/>
      <c r="T922" s="22"/>
      <c r="U922" s="22"/>
    </row>
    <row r="923" spans="1:21" hidden="1">
      <c r="A923" s="243"/>
      <c r="B923" s="18"/>
      <c r="C923" s="18"/>
      <c r="D923" s="22"/>
      <c r="E923" s="22"/>
      <c r="F923" s="22"/>
      <c r="G923" s="22"/>
      <c r="H923" s="22"/>
      <c r="I923" s="22"/>
      <c r="J923" s="22"/>
      <c r="K923" s="22"/>
      <c r="L923" s="22"/>
      <c r="M923" s="22"/>
      <c r="N923" s="22"/>
      <c r="O923" s="22"/>
      <c r="P923" s="22"/>
      <c r="Q923" s="22"/>
      <c r="R923" s="22"/>
      <c r="S923" s="22"/>
      <c r="T923" s="22"/>
      <c r="U923" s="22"/>
    </row>
    <row r="924" spans="1:21" hidden="1">
      <c r="A924" s="243"/>
      <c r="B924" s="18"/>
      <c r="C924" s="18"/>
      <c r="D924" s="22"/>
      <c r="E924" s="22"/>
      <c r="F924" s="22"/>
      <c r="G924" s="22"/>
      <c r="H924" s="22"/>
      <c r="I924" s="22"/>
      <c r="J924" s="22"/>
      <c r="K924" s="22"/>
      <c r="L924" s="22"/>
      <c r="M924" s="22"/>
      <c r="N924" s="22"/>
      <c r="O924" s="22"/>
      <c r="P924" s="22"/>
      <c r="Q924" s="22"/>
      <c r="R924" s="22"/>
      <c r="S924" s="22"/>
      <c r="T924" s="22"/>
      <c r="U924" s="22"/>
    </row>
    <row r="925" spans="1:21" hidden="1">
      <c r="A925" s="243"/>
      <c r="B925" s="18"/>
      <c r="C925" s="18"/>
      <c r="D925" s="22"/>
      <c r="E925" s="22"/>
      <c r="F925" s="22"/>
      <c r="G925" s="22"/>
      <c r="H925" s="22"/>
      <c r="I925" s="22"/>
      <c r="J925" s="22"/>
      <c r="K925" s="22"/>
      <c r="L925" s="22"/>
      <c r="M925" s="22"/>
      <c r="N925" s="22"/>
      <c r="O925" s="22"/>
      <c r="P925" s="22"/>
      <c r="Q925" s="22"/>
      <c r="R925" s="22"/>
      <c r="S925" s="22"/>
      <c r="T925" s="22"/>
      <c r="U925" s="22"/>
    </row>
    <row r="926" spans="1:21" hidden="1">
      <c r="A926" s="243"/>
      <c r="B926" s="18"/>
      <c r="C926" s="18"/>
      <c r="D926" s="22"/>
      <c r="E926" s="22"/>
      <c r="F926" s="22"/>
      <c r="G926" s="22"/>
      <c r="H926" s="22"/>
      <c r="I926" s="22"/>
      <c r="J926" s="22"/>
      <c r="K926" s="22"/>
      <c r="L926" s="22"/>
      <c r="M926" s="22"/>
      <c r="N926" s="22"/>
      <c r="O926" s="22"/>
      <c r="P926" s="22"/>
      <c r="Q926" s="22"/>
      <c r="R926" s="22"/>
      <c r="S926" s="22"/>
      <c r="T926" s="22"/>
      <c r="U926" s="22"/>
    </row>
    <row r="927" spans="1:21" hidden="1">
      <c r="A927" s="243"/>
      <c r="B927" s="18"/>
      <c r="C927" s="18"/>
      <c r="D927" s="22"/>
      <c r="E927" s="22"/>
      <c r="F927" s="22"/>
      <c r="G927" s="22"/>
      <c r="H927" s="22"/>
      <c r="I927" s="22"/>
      <c r="J927" s="22"/>
      <c r="K927" s="22"/>
      <c r="L927" s="22"/>
      <c r="M927" s="22"/>
      <c r="N927" s="22"/>
      <c r="O927" s="22"/>
      <c r="P927" s="22"/>
      <c r="Q927" s="22"/>
      <c r="R927" s="22"/>
      <c r="S927" s="22"/>
      <c r="T927" s="22"/>
      <c r="U927" s="22"/>
    </row>
    <row r="928" spans="1:21" hidden="1">
      <c r="A928" s="243"/>
      <c r="B928" s="18"/>
      <c r="C928" s="18"/>
      <c r="D928" s="22"/>
      <c r="E928" s="22"/>
      <c r="F928" s="22"/>
      <c r="G928" s="22"/>
      <c r="H928" s="22"/>
      <c r="I928" s="22"/>
      <c r="J928" s="22"/>
      <c r="K928" s="22"/>
      <c r="L928" s="22"/>
      <c r="M928" s="22"/>
      <c r="N928" s="22"/>
      <c r="O928" s="22"/>
      <c r="P928" s="22"/>
      <c r="Q928" s="22"/>
      <c r="R928" s="22"/>
      <c r="S928" s="22"/>
      <c r="T928" s="22"/>
      <c r="U928" s="22"/>
    </row>
    <row r="929" spans="1:21" hidden="1">
      <c r="A929" s="243"/>
      <c r="B929" s="18"/>
      <c r="C929" s="18"/>
      <c r="D929" s="22"/>
      <c r="E929" s="22"/>
      <c r="F929" s="22"/>
      <c r="G929" s="22"/>
      <c r="H929" s="22"/>
      <c r="I929" s="22"/>
      <c r="J929" s="22"/>
      <c r="K929" s="22"/>
      <c r="L929" s="22"/>
      <c r="M929" s="22"/>
      <c r="N929" s="22"/>
      <c r="O929" s="22"/>
      <c r="P929" s="22"/>
      <c r="Q929" s="22"/>
      <c r="R929" s="22"/>
      <c r="S929" s="22"/>
      <c r="T929" s="22"/>
      <c r="U929" s="22"/>
    </row>
    <row r="930" spans="1:21" hidden="1">
      <c r="A930" s="243"/>
      <c r="B930" s="18"/>
      <c r="C930" s="18"/>
      <c r="D930" s="22"/>
      <c r="E930" s="22"/>
      <c r="F930" s="22"/>
      <c r="G930" s="22"/>
      <c r="H930" s="22"/>
      <c r="I930" s="22"/>
      <c r="J930" s="22"/>
      <c r="K930" s="22"/>
      <c r="L930" s="22"/>
      <c r="M930" s="22"/>
      <c r="N930" s="22"/>
      <c r="O930" s="22"/>
      <c r="P930" s="22"/>
      <c r="Q930" s="22"/>
      <c r="R930" s="22"/>
      <c r="S930" s="22"/>
      <c r="T930" s="22"/>
      <c r="U930" s="22"/>
    </row>
    <row r="931" spans="1:21" hidden="1">
      <c r="A931" s="243"/>
      <c r="B931" s="18"/>
      <c r="C931" s="18"/>
      <c r="D931" s="22"/>
      <c r="E931" s="22"/>
      <c r="F931" s="22"/>
      <c r="G931" s="22"/>
      <c r="H931" s="22"/>
      <c r="I931" s="22"/>
      <c r="J931" s="22"/>
      <c r="K931" s="22"/>
      <c r="L931" s="22"/>
      <c r="M931" s="22"/>
      <c r="N931" s="22"/>
      <c r="O931" s="22"/>
      <c r="P931" s="22"/>
      <c r="Q931" s="22"/>
      <c r="R931" s="22"/>
      <c r="S931" s="22"/>
      <c r="T931" s="22"/>
      <c r="U931" s="22"/>
    </row>
    <row r="932" spans="1:21" hidden="1">
      <c r="A932" s="243"/>
      <c r="B932" s="18"/>
      <c r="C932" s="18"/>
      <c r="D932" s="22"/>
      <c r="E932" s="22"/>
      <c r="F932" s="22"/>
      <c r="G932" s="22"/>
      <c r="H932" s="22"/>
      <c r="I932" s="22"/>
      <c r="J932" s="22"/>
      <c r="K932" s="22"/>
      <c r="L932" s="22"/>
      <c r="M932" s="22"/>
      <c r="N932" s="22"/>
      <c r="O932" s="22"/>
      <c r="P932" s="22"/>
      <c r="Q932" s="22"/>
      <c r="R932" s="22"/>
      <c r="S932" s="22"/>
      <c r="T932" s="22"/>
      <c r="U932" s="22"/>
    </row>
    <row r="933" spans="1:21" hidden="1">
      <c r="A933" s="243"/>
      <c r="B933" s="18"/>
      <c r="C933" s="18"/>
      <c r="D933" s="22"/>
      <c r="E933" s="22"/>
      <c r="F933" s="22"/>
      <c r="G933" s="22"/>
      <c r="H933" s="22"/>
      <c r="I933" s="22"/>
      <c r="J933" s="22"/>
      <c r="K933" s="22"/>
      <c r="L933" s="22"/>
      <c r="M933" s="22"/>
      <c r="N933" s="22"/>
      <c r="O933" s="22"/>
      <c r="P933" s="22"/>
      <c r="Q933" s="22"/>
      <c r="R933" s="22"/>
      <c r="S933" s="22"/>
      <c r="T933" s="22"/>
      <c r="U933" s="22"/>
    </row>
    <row r="934" spans="1:21" hidden="1">
      <c r="A934" s="243"/>
      <c r="B934" s="18"/>
      <c r="C934" s="18"/>
      <c r="D934" s="22"/>
      <c r="E934" s="22"/>
      <c r="F934" s="22"/>
      <c r="G934" s="22"/>
      <c r="H934" s="22"/>
      <c r="I934" s="22"/>
      <c r="J934" s="22"/>
      <c r="K934" s="22"/>
      <c r="L934" s="22"/>
      <c r="M934" s="22"/>
      <c r="N934" s="22"/>
      <c r="O934" s="22"/>
      <c r="P934" s="22"/>
      <c r="Q934" s="22"/>
      <c r="R934" s="22"/>
      <c r="S934" s="22"/>
      <c r="T934" s="22"/>
      <c r="U934" s="22"/>
    </row>
    <row r="935" spans="1:21" hidden="1">
      <c r="A935" s="243"/>
      <c r="B935" s="18"/>
      <c r="C935" s="18"/>
      <c r="D935" s="22"/>
      <c r="E935" s="22"/>
      <c r="F935" s="22"/>
      <c r="G935" s="22"/>
      <c r="H935" s="22"/>
      <c r="I935" s="22"/>
      <c r="J935" s="22"/>
      <c r="K935" s="22"/>
      <c r="L935" s="22"/>
      <c r="M935" s="22"/>
      <c r="N935" s="22"/>
      <c r="O935" s="22"/>
      <c r="P935" s="22"/>
      <c r="Q935" s="22"/>
      <c r="R935" s="22"/>
      <c r="S935" s="22"/>
      <c r="T935" s="22"/>
      <c r="U935" s="22"/>
    </row>
    <row r="936" spans="1:21" hidden="1">
      <c r="A936" s="243"/>
      <c r="B936" s="18"/>
      <c r="C936" s="18"/>
      <c r="D936" s="22"/>
      <c r="E936" s="22"/>
      <c r="F936" s="22"/>
      <c r="G936" s="22"/>
      <c r="H936" s="22"/>
      <c r="I936" s="22"/>
      <c r="J936" s="22"/>
      <c r="K936" s="22"/>
      <c r="L936" s="22"/>
      <c r="M936" s="22"/>
      <c r="N936" s="22"/>
      <c r="O936" s="22"/>
      <c r="P936" s="22"/>
      <c r="Q936" s="22"/>
      <c r="R936" s="22"/>
      <c r="S936" s="22"/>
      <c r="T936" s="22"/>
      <c r="U936" s="22"/>
    </row>
    <row r="937" spans="1:21" hidden="1">
      <c r="A937" s="243"/>
      <c r="B937" s="18"/>
      <c r="C937" s="18"/>
      <c r="D937" s="22"/>
      <c r="E937" s="22"/>
      <c r="F937" s="22"/>
      <c r="G937" s="22"/>
      <c r="H937" s="22"/>
      <c r="I937" s="22"/>
      <c r="J937" s="22"/>
      <c r="K937" s="22"/>
      <c r="L937" s="22"/>
      <c r="M937" s="22"/>
      <c r="N937" s="22"/>
      <c r="O937" s="22"/>
      <c r="P937" s="22"/>
      <c r="Q937" s="22"/>
      <c r="R937" s="22"/>
      <c r="S937" s="22"/>
      <c r="T937" s="22"/>
      <c r="U937" s="22"/>
    </row>
    <row r="938" spans="1:21" hidden="1">
      <c r="A938" s="243"/>
      <c r="B938" s="18"/>
      <c r="C938" s="18"/>
      <c r="D938" s="22"/>
      <c r="E938" s="22"/>
      <c r="F938" s="22"/>
      <c r="G938" s="22"/>
      <c r="H938" s="22"/>
      <c r="I938" s="22"/>
      <c r="J938" s="22"/>
      <c r="K938" s="22"/>
      <c r="L938" s="22"/>
      <c r="M938" s="22"/>
      <c r="N938" s="22"/>
      <c r="O938" s="22"/>
      <c r="P938" s="22"/>
      <c r="Q938" s="22"/>
      <c r="R938" s="22"/>
      <c r="S938" s="22"/>
      <c r="T938" s="22"/>
      <c r="U938" s="22"/>
    </row>
    <row r="939" spans="1:21" hidden="1">
      <c r="A939" s="243"/>
      <c r="B939" s="18"/>
      <c r="C939" s="18"/>
      <c r="D939" s="22"/>
      <c r="E939" s="22"/>
      <c r="F939" s="22"/>
      <c r="G939" s="22"/>
      <c r="H939" s="22"/>
      <c r="I939" s="22"/>
      <c r="J939" s="22"/>
      <c r="K939" s="22"/>
      <c r="L939" s="22"/>
      <c r="M939" s="22"/>
      <c r="N939" s="22"/>
      <c r="O939" s="22"/>
      <c r="P939" s="22"/>
      <c r="Q939" s="22"/>
      <c r="R939" s="22"/>
      <c r="S939" s="22"/>
      <c r="T939" s="22"/>
      <c r="U939" s="22"/>
    </row>
    <row r="940" spans="1:21" hidden="1">
      <c r="A940" s="243"/>
      <c r="B940" s="18"/>
      <c r="C940" s="18"/>
      <c r="D940" s="22"/>
      <c r="E940" s="22"/>
      <c r="F940" s="22"/>
      <c r="G940" s="22"/>
      <c r="H940" s="22"/>
      <c r="I940" s="22"/>
      <c r="J940" s="22"/>
      <c r="K940" s="22"/>
      <c r="L940" s="22"/>
      <c r="M940" s="22"/>
      <c r="N940" s="22"/>
      <c r="O940" s="22"/>
      <c r="P940" s="22"/>
      <c r="Q940" s="22"/>
      <c r="R940" s="22"/>
      <c r="S940" s="22"/>
      <c r="T940" s="22"/>
      <c r="U940" s="22"/>
    </row>
    <row r="941" spans="1:21" hidden="1">
      <c r="A941" s="243"/>
      <c r="B941" s="18"/>
      <c r="C941" s="18"/>
      <c r="D941" s="22"/>
      <c r="E941" s="22"/>
      <c r="F941" s="22"/>
      <c r="G941" s="22"/>
      <c r="H941" s="22"/>
      <c r="I941" s="22"/>
      <c r="J941" s="22"/>
      <c r="K941" s="22"/>
      <c r="L941" s="22"/>
      <c r="M941" s="22"/>
      <c r="N941" s="22"/>
      <c r="O941" s="22"/>
      <c r="P941" s="22"/>
      <c r="Q941" s="22"/>
      <c r="R941" s="22"/>
      <c r="S941" s="22"/>
      <c r="T941" s="22"/>
      <c r="U941" s="22"/>
    </row>
    <row r="942" spans="1:21" hidden="1">
      <c r="A942" s="243"/>
      <c r="B942" s="18"/>
      <c r="C942" s="18"/>
      <c r="D942" s="22"/>
      <c r="E942" s="22"/>
      <c r="F942" s="22"/>
      <c r="G942" s="22"/>
      <c r="H942" s="22"/>
      <c r="I942" s="22"/>
      <c r="J942" s="22"/>
      <c r="K942" s="22"/>
      <c r="L942" s="22"/>
      <c r="M942" s="22"/>
      <c r="N942" s="22"/>
      <c r="O942" s="22"/>
      <c r="P942" s="22"/>
      <c r="Q942" s="22"/>
      <c r="R942" s="22"/>
      <c r="S942" s="22"/>
      <c r="T942" s="22"/>
      <c r="U942" s="22"/>
    </row>
    <row r="943" spans="1:21" hidden="1">
      <c r="A943" s="243"/>
      <c r="B943" s="18"/>
      <c r="C943" s="18"/>
      <c r="D943" s="22"/>
      <c r="E943" s="22"/>
      <c r="F943" s="22"/>
      <c r="G943" s="22"/>
      <c r="H943" s="22"/>
      <c r="I943" s="22"/>
      <c r="J943" s="22"/>
      <c r="K943" s="22"/>
      <c r="L943" s="22"/>
      <c r="M943" s="22"/>
      <c r="N943" s="22"/>
      <c r="O943" s="22"/>
      <c r="P943" s="22"/>
      <c r="Q943" s="22"/>
      <c r="R943" s="22"/>
      <c r="S943" s="22"/>
      <c r="T943" s="22"/>
      <c r="U943" s="22"/>
    </row>
    <row r="944" spans="1:21" hidden="1">
      <c r="A944" s="243"/>
      <c r="B944" s="18"/>
      <c r="C944" s="18"/>
      <c r="D944" s="22"/>
      <c r="E944" s="22"/>
      <c r="F944" s="22"/>
      <c r="G944" s="22"/>
      <c r="H944" s="22"/>
      <c r="I944" s="22"/>
      <c r="J944" s="22"/>
      <c r="K944" s="22"/>
      <c r="L944" s="22"/>
      <c r="M944" s="22"/>
      <c r="N944" s="22"/>
      <c r="O944" s="22"/>
      <c r="P944" s="22"/>
      <c r="Q944" s="22"/>
      <c r="R944" s="22"/>
      <c r="S944" s="22"/>
      <c r="T944" s="22"/>
      <c r="U944" s="22"/>
    </row>
    <row r="945" spans="1:21" hidden="1">
      <c r="A945" s="243"/>
      <c r="B945" s="18"/>
      <c r="C945" s="18"/>
      <c r="D945" s="22"/>
      <c r="E945" s="22"/>
      <c r="F945" s="22"/>
      <c r="G945" s="22"/>
      <c r="H945" s="22"/>
      <c r="I945" s="22"/>
      <c r="J945" s="22"/>
      <c r="K945" s="22"/>
      <c r="L945" s="22"/>
      <c r="M945" s="22"/>
      <c r="N945" s="22"/>
      <c r="O945" s="22"/>
      <c r="P945" s="22"/>
      <c r="Q945" s="22"/>
      <c r="R945" s="22"/>
      <c r="S945" s="22"/>
      <c r="T945" s="22"/>
      <c r="U945" s="22"/>
    </row>
    <row r="946" spans="1:21" hidden="1">
      <c r="A946" s="243"/>
      <c r="B946" s="18"/>
      <c r="C946" s="18"/>
      <c r="D946" s="22"/>
      <c r="E946" s="22"/>
      <c r="F946" s="22"/>
      <c r="G946" s="22"/>
      <c r="H946" s="22"/>
      <c r="I946" s="22"/>
      <c r="J946" s="22"/>
      <c r="K946" s="22"/>
      <c r="L946" s="22"/>
      <c r="M946" s="22"/>
      <c r="N946" s="22"/>
      <c r="O946" s="22"/>
      <c r="P946" s="22"/>
      <c r="Q946" s="22"/>
      <c r="R946" s="22"/>
      <c r="S946" s="22"/>
      <c r="T946" s="22"/>
      <c r="U946" s="22"/>
    </row>
    <row r="947" spans="1:21" hidden="1">
      <c r="A947" s="243"/>
      <c r="B947" s="18"/>
      <c r="C947" s="18"/>
      <c r="D947" s="22"/>
      <c r="E947" s="22"/>
      <c r="F947" s="22"/>
      <c r="G947" s="22"/>
      <c r="H947" s="22"/>
      <c r="I947" s="22"/>
      <c r="J947" s="22"/>
      <c r="K947" s="22"/>
      <c r="L947" s="22"/>
      <c r="M947" s="22"/>
      <c r="N947" s="22"/>
      <c r="O947" s="22"/>
      <c r="P947" s="22"/>
      <c r="Q947" s="22"/>
      <c r="R947" s="22"/>
      <c r="S947" s="22"/>
      <c r="T947" s="22"/>
      <c r="U947" s="22"/>
    </row>
    <row r="948" spans="1:21" hidden="1">
      <c r="A948" s="243"/>
      <c r="B948" s="18"/>
      <c r="C948" s="18"/>
      <c r="D948" s="22"/>
      <c r="E948" s="22"/>
      <c r="F948" s="22"/>
      <c r="G948" s="22"/>
      <c r="H948" s="22"/>
      <c r="I948" s="22"/>
      <c r="J948" s="22"/>
      <c r="K948" s="22"/>
      <c r="L948" s="22"/>
      <c r="M948" s="22"/>
      <c r="N948" s="22"/>
      <c r="O948" s="22"/>
      <c r="P948" s="22"/>
      <c r="Q948" s="22"/>
      <c r="R948" s="22"/>
      <c r="S948" s="22"/>
      <c r="T948" s="22"/>
      <c r="U948" s="22"/>
    </row>
    <row r="949" spans="1:21" hidden="1">
      <c r="A949" s="243"/>
      <c r="B949" s="18"/>
      <c r="C949" s="18"/>
      <c r="D949" s="22"/>
      <c r="E949" s="22"/>
      <c r="F949" s="22"/>
      <c r="G949" s="22"/>
      <c r="H949" s="22"/>
      <c r="I949" s="22"/>
      <c r="J949" s="22"/>
      <c r="K949" s="22"/>
      <c r="L949" s="22"/>
      <c r="M949" s="22"/>
      <c r="N949" s="22"/>
      <c r="O949" s="22"/>
      <c r="P949" s="22"/>
      <c r="Q949" s="22"/>
      <c r="R949" s="22"/>
      <c r="S949" s="22"/>
      <c r="T949" s="22"/>
      <c r="U949" s="22"/>
    </row>
    <row r="950" spans="1:21" hidden="1">
      <c r="A950" s="243"/>
      <c r="B950" s="18"/>
      <c r="C950" s="18"/>
      <c r="D950" s="22"/>
      <c r="E950" s="22"/>
      <c r="F950" s="22"/>
      <c r="G950" s="22"/>
      <c r="H950" s="22"/>
      <c r="I950" s="22"/>
      <c r="J950" s="22"/>
      <c r="K950" s="22"/>
      <c r="L950" s="22"/>
      <c r="M950" s="22"/>
      <c r="N950" s="22"/>
      <c r="O950" s="22"/>
      <c r="P950" s="22"/>
      <c r="Q950" s="22"/>
      <c r="R950" s="22"/>
      <c r="S950" s="22"/>
      <c r="T950" s="22"/>
      <c r="U950" s="22"/>
    </row>
    <row r="951" spans="1:21" hidden="1">
      <c r="A951" s="243"/>
      <c r="B951" s="18"/>
      <c r="C951" s="18"/>
      <c r="D951" s="22"/>
      <c r="E951" s="22"/>
      <c r="F951" s="22"/>
      <c r="G951" s="22"/>
      <c r="H951" s="22"/>
      <c r="I951" s="22"/>
      <c r="J951" s="22"/>
      <c r="K951" s="22"/>
      <c r="L951" s="22"/>
      <c r="M951" s="22"/>
      <c r="N951" s="22"/>
      <c r="O951" s="22"/>
      <c r="P951" s="22"/>
      <c r="Q951" s="22"/>
      <c r="R951" s="22"/>
      <c r="S951" s="22"/>
      <c r="T951" s="22"/>
      <c r="U951" s="22"/>
    </row>
    <row r="952" spans="1:21" hidden="1">
      <c r="A952" s="243"/>
      <c r="B952" s="18"/>
      <c r="C952" s="18"/>
      <c r="D952" s="22"/>
      <c r="E952" s="22"/>
      <c r="F952" s="22"/>
      <c r="G952" s="22"/>
      <c r="H952" s="22"/>
      <c r="I952" s="22"/>
      <c r="J952" s="22"/>
      <c r="K952" s="22"/>
      <c r="L952" s="22"/>
      <c r="M952" s="22"/>
      <c r="N952" s="22"/>
      <c r="O952" s="22"/>
      <c r="P952" s="22"/>
      <c r="Q952" s="22"/>
      <c r="R952" s="22"/>
      <c r="S952" s="22"/>
      <c r="T952" s="22"/>
      <c r="U952" s="22"/>
    </row>
    <row r="953" spans="1:21" hidden="1">
      <c r="A953" s="243"/>
      <c r="B953" s="18"/>
      <c r="C953" s="18"/>
      <c r="D953" s="22"/>
      <c r="E953" s="22"/>
      <c r="F953" s="22"/>
      <c r="G953" s="22"/>
      <c r="H953" s="22"/>
      <c r="I953" s="22"/>
      <c r="J953" s="22"/>
      <c r="K953" s="22"/>
      <c r="L953" s="22"/>
      <c r="M953" s="22"/>
      <c r="N953" s="22"/>
      <c r="O953" s="22"/>
      <c r="P953" s="22"/>
      <c r="Q953" s="22"/>
      <c r="R953" s="22"/>
      <c r="S953" s="22"/>
      <c r="T953" s="22"/>
      <c r="U953" s="22"/>
    </row>
    <row r="954" spans="1:21" hidden="1">
      <c r="A954" s="243"/>
      <c r="B954" s="18"/>
      <c r="C954" s="18"/>
      <c r="D954" s="22"/>
      <c r="E954" s="22"/>
      <c r="F954" s="22"/>
      <c r="G954" s="22"/>
      <c r="H954" s="22"/>
      <c r="I954" s="22"/>
      <c r="J954" s="22"/>
      <c r="K954" s="22"/>
      <c r="L954" s="22"/>
      <c r="M954" s="22"/>
      <c r="N954" s="22"/>
      <c r="O954" s="22"/>
      <c r="P954" s="22"/>
      <c r="Q954" s="22"/>
      <c r="R954" s="22"/>
      <c r="S954" s="22"/>
      <c r="T954" s="22"/>
      <c r="U954" s="22"/>
    </row>
    <row r="955" spans="1:21" hidden="1">
      <c r="A955" s="243"/>
      <c r="B955" s="18"/>
      <c r="C955" s="18"/>
      <c r="D955" s="22"/>
      <c r="E955" s="22"/>
      <c r="F955" s="22"/>
      <c r="G955" s="22"/>
      <c r="H955" s="22"/>
      <c r="I955" s="22"/>
      <c r="J955" s="22"/>
      <c r="K955" s="22"/>
      <c r="L955" s="22"/>
      <c r="M955" s="22"/>
      <c r="N955" s="22"/>
      <c r="O955" s="22"/>
      <c r="P955" s="22"/>
      <c r="Q955" s="22"/>
      <c r="R955" s="22"/>
      <c r="S955" s="22"/>
      <c r="T955" s="22"/>
      <c r="U955" s="22"/>
    </row>
    <row r="956" spans="1:21" hidden="1">
      <c r="A956" s="243"/>
      <c r="B956" s="18"/>
      <c r="C956" s="18"/>
      <c r="D956" s="22"/>
      <c r="E956" s="22"/>
      <c r="F956" s="22"/>
      <c r="G956" s="22"/>
      <c r="H956" s="22"/>
      <c r="I956" s="22"/>
      <c r="J956" s="22"/>
      <c r="K956" s="22"/>
      <c r="L956" s="22"/>
      <c r="M956" s="22"/>
      <c r="N956" s="22"/>
      <c r="O956" s="22"/>
      <c r="P956" s="22"/>
      <c r="Q956" s="22"/>
      <c r="R956" s="22"/>
      <c r="S956" s="22"/>
      <c r="T956" s="22"/>
      <c r="U956" s="22"/>
    </row>
    <row r="957" spans="1:21" hidden="1">
      <c r="A957" s="243"/>
      <c r="B957" s="18"/>
      <c r="C957" s="18"/>
      <c r="D957" s="22"/>
      <c r="E957" s="22"/>
      <c r="F957" s="22"/>
      <c r="G957" s="22"/>
      <c r="H957" s="22"/>
      <c r="I957" s="22"/>
      <c r="J957" s="22"/>
      <c r="K957" s="22"/>
      <c r="L957" s="22"/>
      <c r="M957" s="22"/>
      <c r="N957" s="22"/>
      <c r="O957" s="22"/>
      <c r="P957" s="22"/>
      <c r="Q957" s="22"/>
      <c r="R957" s="22"/>
      <c r="S957" s="22"/>
      <c r="T957" s="22"/>
      <c r="U957" s="22"/>
    </row>
    <row r="958" spans="1:21" hidden="1">
      <c r="A958" s="243"/>
      <c r="B958" s="18"/>
      <c r="C958" s="18"/>
      <c r="D958" s="22"/>
      <c r="E958" s="22"/>
      <c r="F958" s="22"/>
      <c r="G958" s="22"/>
      <c r="H958" s="22"/>
      <c r="I958" s="22"/>
      <c r="J958" s="22"/>
      <c r="K958" s="22"/>
      <c r="L958" s="22"/>
      <c r="M958" s="22"/>
      <c r="N958" s="22"/>
      <c r="O958" s="22"/>
      <c r="P958" s="22"/>
      <c r="Q958" s="22"/>
      <c r="R958" s="22"/>
      <c r="S958" s="22"/>
      <c r="T958" s="22"/>
      <c r="U958" s="22"/>
    </row>
    <row r="959" spans="1:21" hidden="1">
      <c r="A959" s="243"/>
      <c r="B959" s="18"/>
      <c r="C959" s="18"/>
      <c r="D959" s="22"/>
      <c r="E959" s="22"/>
      <c r="F959" s="22"/>
      <c r="G959" s="22"/>
      <c r="H959" s="22"/>
      <c r="I959" s="22"/>
      <c r="J959" s="22"/>
      <c r="K959" s="22"/>
      <c r="L959" s="22"/>
      <c r="M959" s="22"/>
      <c r="N959" s="22"/>
      <c r="O959" s="22"/>
      <c r="P959" s="22"/>
      <c r="Q959" s="22"/>
      <c r="R959" s="22"/>
      <c r="S959" s="22"/>
      <c r="T959" s="22"/>
      <c r="U959" s="22"/>
    </row>
    <row r="960" spans="1:21" hidden="1">
      <c r="A960" s="243"/>
      <c r="B960" s="18"/>
      <c r="C960" s="18"/>
      <c r="D960" s="22"/>
      <c r="E960" s="22"/>
      <c r="F960" s="22"/>
      <c r="G960" s="22"/>
      <c r="H960" s="22"/>
      <c r="I960" s="22"/>
      <c r="J960" s="22"/>
      <c r="K960" s="22"/>
      <c r="L960" s="22"/>
      <c r="M960" s="22"/>
      <c r="N960" s="22"/>
      <c r="O960" s="22"/>
      <c r="P960" s="22"/>
      <c r="Q960" s="22"/>
      <c r="R960" s="22"/>
      <c r="S960" s="22"/>
      <c r="T960" s="22"/>
      <c r="U960" s="22"/>
    </row>
    <row r="961" spans="1:21" hidden="1">
      <c r="A961" s="243"/>
      <c r="B961" s="18"/>
      <c r="C961" s="18"/>
      <c r="D961" s="22"/>
      <c r="E961" s="22"/>
      <c r="F961" s="22"/>
      <c r="G961" s="22"/>
      <c r="H961" s="22"/>
      <c r="I961" s="22"/>
      <c r="J961" s="22"/>
      <c r="K961" s="22"/>
      <c r="L961" s="22"/>
      <c r="M961" s="22"/>
      <c r="N961" s="22"/>
      <c r="O961" s="22"/>
      <c r="P961" s="22"/>
      <c r="Q961" s="22"/>
      <c r="R961" s="22"/>
      <c r="S961" s="22"/>
      <c r="T961" s="22"/>
      <c r="U961" s="22"/>
    </row>
    <row r="962" spans="1:21" hidden="1">
      <c r="A962" s="243"/>
      <c r="B962" s="18"/>
      <c r="C962" s="18"/>
      <c r="D962" s="22"/>
      <c r="E962" s="22"/>
      <c r="F962" s="22"/>
      <c r="G962" s="22"/>
      <c r="H962" s="22"/>
      <c r="I962" s="22"/>
      <c r="J962" s="22"/>
      <c r="K962" s="22"/>
      <c r="L962" s="22"/>
      <c r="M962" s="22"/>
      <c r="N962" s="22"/>
      <c r="O962" s="22"/>
      <c r="P962" s="22"/>
      <c r="Q962" s="22"/>
      <c r="R962" s="22"/>
      <c r="S962" s="22"/>
      <c r="T962" s="22"/>
      <c r="U962" s="22"/>
    </row>
    <row r="963" spans="1:21" hidden="1">
      <c r="A963" s="243"/>
      <c r="B963" s="18"/>
      <c r="C963" s="18"/>
      <c r="D963" s="22"/>
      <c r="E963" s="22"/>
      <c r="F963" s="22"/>
      <c r="G963" s="22"/>
      <c r="H963" s="22"/>
      <c r="I963" s="22"/>
      <c r="J963" s="22"/>
      <c r="K963" s="22"/>
      <c r="L963" s="22"/>
      <c r="M963" s="22"/>
      <c r="N963" s="22"/>
      <c r="O963" s="22"/>
      <c r="P963" s="22"/>
      <c r="Q963" s="22"/>
      <c r="R963" s="22"/>
      <c r="S963" s="22"/>
      <c r="T963" s="22"/>
      <c r="U963" s="22"/>
    </row>
    <row r="964" spans="1:21" hidden="1">
      <c r="A964" s="243"/>
      <c r="B964" s="18"/>
      <c r="C964" s="18"/>
      <c r="D964" s="22"/>
      <c r="E964" s="22"/>
      <c r="F964" s="22"/>
      <c r="G964" s="22"/>
      <c r="H964" s="22"/>
      <c r="I964" s="22"/>
      <c r="J964" s="22"/>
      <c r="K964" s="22"/>
      <c r="L964" s="22"/>
      <c r="M964" s="22"/>
      <c r="N964" s="22"/>
      <c r="O964" s="22"/>
      <c r="P964" s="22"/>
      <c r="Q964" s="22"/>
      <c r="R964" s="22"/>
      <c r="S964" s="22"/>
      <c r="T964" s="22"/>
      <c r="U964" s="22"/>
    </row>
    <row r="965" spans="1:21" hidden="1">
      <c r="A965" s="243"/>
      <c r="B965" s="18"/>
      <c r="C965" s="18"/>
      <c r="D965" s="22"/>
      <c r="E965" s="22"/>
      <c r="F965" s="22"/>
      <c r="G965" s="22"/>
      <c r="H965" s="22"/>
      <c r="I965" s="22"/>
      <c r="J965" s="22"/>
      <c r="K965" s="22"/>
      <c r="L965" s="22"/>
      <c r="M965" s="22"/>
      <c r="N965" s="22"/>
      <c r="O965" s="22"/>
      <c r="P965" s="22"/>
      <c r="Q965" s="22"/>
      <c r="R965" s="22"/>
      <c r="S965" s="22"/>
      <c r="T965" s="22"/>
      <c r="U965" s="22"/>
    </row>
    <row r="966" spans="1:21" hidden="1">
      <c r="A966" s="243"/>
      <c r="B966" s="18"/>
      <c r="C966" s="18"/>
      <c r="D966" s="22"/>
      <c r="E966" s="22"/>
      <c r="F966" s="22"/>
      <c r="G966" s="22"/>
      <c r="H966" s="22"/>
      <c r="I966" s="22"/>
      <c r="J966" s="22"/>
      <c r="K966" s="22"/>
      <c r="L966" s="22"/>
      <c r="M966" s="22"/>
      <c r="N966" s="22"/>
      <c r="O966" s="22"/>
      <c r="P966" s="22"/>
      <c r="Q966" s="22"/>
      <c r="R966" s="22"/>
      <c r="S966" s="22"/>
      <c r="T966" s="22"/>
      <c r="U966" s="22"/>
    </row>
    <row r="967" spans="1:21" hidden="1">
      <c r="A967" s="243"/>
      <c r="B967" s="18"/>
      <c r="C967" s="18"/>
      <c r="D967" s="22"/>
      <c r="E967" s="22"/>
      <c r="F967" s="22"/>
      <c r="G967" s="22"/>
      <c r="H967" s="22"/>
      <c r="I967" s="22"/>
      <c r="J967" s="22"/>
      <c r="K967" s="22"/>
      <c r="L967" s="22"/>
      <c r="M967" s="22"/>
      <c r="N967" s="22"/>
      <c r="O967" s="22"/>
      <c r="P967" s="22"/>
      <c r="Q967" s="22"/>
      <c r="R967" s="22"/>
      <c r="S967" s="22"/>
      <c r="T967" s="22"/>
      <c r="U967" s="22"/>
    </row>
    <row r="968" spans="1:21" hidden="1">
      <c r="A968" s="243"/>
      <c r="B968" s="18"/>
      <c r="C968" s="18"/>
      <c r="D968" s="22"/>
      <c r="E968" s="22"/>
      <c r="F968" s="22"/>
      <c r="G968" s="22"/>
      <c r="H968" s="22"/>
      <c r="I968" s="22"/>
      <c r="J968" s="22"/>
      <c r="K968" s="22"/>
      <c r="L968" s="22"/>
      <c r="M968" s="22"/>
      <c r="N968" s="22"/>
      <c r="O968" s="22"/>
      <c r="P968" s="22"/>
      <c r="Q968" s="22"/>
      <c r="R968" s="22"/>
      <c r="S968" s="22"/>
      <c r="T968" s="22"/>
      <c r="U968" s="22"/>
    </row>
    <row r="969" spans="1:21" hidden="1">
      <c r="A969" s="243"/>
      <c r="B969" s="18"/>
      <c r="C969" s="18"/>
      <c r="D969" s="22"/>
      <c r="E969" s="22"/>
      <c r="F969" s="22"/>
      <c r="G969" s="22"/>
      <c r="H969" s="22"/>
      <c r="I969" s="22"/>
      <c r="J969" s="22"/>
      <c r="K969" s="22"/>
      <c r="L969" s="22"/>
      <c r="M969" s="22"/>
      <c r="N969" s="22"/>
      <c r="O969" s="22"/>
      <c r="P969" s="22"/>
      <c r="Q969" s="22"/>
      <c r="R969" s="22"/>
      <c r="S969" s="22"/>
      <c r="T969" s="22"/>
      <c r="U969" s="22"/>
    </row>
    <row r="970" spans="1:21" hidden="1">
      <c r="A970" s="243"/>
      <c r="B970" s="18"/>
      <c r="C970" s="18"/>
      <c r="D970" s="22"/>
      <c r="E970" s="22"/>
      <c r="F970" s="22"/>
      <c r="G970" s="22"/>
      <c r="H970" s="22"/>
      <c r="I970" s="22"/>
      <c r="J970" s="22"/>
      <c r="K970" s="22"/>
      <c r="L970" s="22"/>
      <c r="M970" s="22"/>
      <c r="N970" s="22"/>
      <c r="O970" s="22"/>
      <c r="P970" s="22"/>
      <c r="Q970" s="22"/>
      <c r="R970" s="22"/>
      <c r="S970" s="22"/>
      <c r="T970" s="22"/>
      <c r="U970" s="22"/>
    </row>
    <row r="971" spans="1:21" hidden="1">
      <c r="A971" s="243"/>
      <c r="B971" s="18"/>
      <c r="C971" s="18"/>
      <c r="D971" s="22"/>
      <c r="E971" s="22"/>
      <c r="F971" s="22"/>
      <c r="G971" s="22"/>
      <c r="H971" s="22"/>
      <c r="I971" s="22"/>
      <c r="J971" s="22"/>
      <c r="K971" s="22"/>
      <c r="L971" s="22"/>
      <c r="M971" s="22"/>
      <c r="N971" s="22"/>
      <c r="O971" s="22"/>
      <c r="P971" s="22"/>
      <c r="Q971" s="22"/>
      <c r="R971" s="22"/>
      <c r="S971" s="22"/>
      <c r="T971" s="22"/>
      <c r="U971" s="22"/>
    </row>
    <row r="972" spans="1:21" hidden="1">
      <c r="A972" s="243"/>
      <c r="B972" s="18"/>
      <c r="C972" s="18"/>
      <c r="D972" s="22"/>
      <c r="E972" s="22"/>
      <c r="F972" s="22"/>
      <c r="G972" s="22"/>
      <c r="H972" s="22"/>
      <c r="I972" s="22"/>
      <c r="J972" s="22"/>
      <c r="K972" s="22"/>
      <c r="L972" s="22"/>
      <c r="M972" s="22"/>
      <c r="N972" s="22"/>
      <c r="O972" s="22"/>
      <c r="P972" s="22"/>
      <c r="Q972" s="22"/>
      <c r="R972" s="22"/>
      <c r="S972" s="22"/>
      <c r="T972" s="22"/>
      <c r="U972" s="22"/>
    </row>
    <row r="973" spans="1:21" hidden="1">
      <c r="A973" s="243"/>
      <c r="B973" s="18"/>
      <c r="C973" s="18"/>
      <c r="D973" s="22"/>
      <c r="E973" s="22"/>
      <c r="F973" s="22"/>
      <c r="G973" s="22"/>
      <c r="H973" s="22"/>
      <c r="I973" s="22"/>
      <c r="J973" s="22"/>
      <c r="K973" s="22"/>
      <c r="L973" s="22"/>
      <c r="M973" s="22"/>
      <c r="N973" s="22"/>
      <c r="O973" s="22"/>
      <c r="P973" s="22"/>
      <c r="Q973" s="22"/>
      <c r="R973" s="22"/>
      <c r="S973" s="22"/>
      <c r="T973" s="22"/>
      <c r="U973" s="22"/>
    </row>
    <row r="974" spans="1:21" hidden="1">
      <c r="A974" s="243"/>
      <c r="B974" s="18"/>
      <c r="C974" s="18"/>
      <c r="D974" s="22"/>
      <c r="E974" s="22"/>
      <c r="F974" s="22"/>
      <c r="G974" s="22"/>
      <c r="H974" s="22"/>
      <c r="I974" s="22"/>
      <c r="J974" s="22"/>
      <c r="K974" s="22"/>
      <c r="L974" s="22"/>
      <c r="M974" s="22"/>
      <c r="N974" s="22"/>
      <c r="O974" s="22"/>
      <c r="P974" s="22"/>
      <c r="Q974" s="22"/>
      <c r="R974" s="22"/>
      <c r="S974" s="22"/>
      <c r="T974" s="22"/>
      <c r="U974" s="22"/>
    </row>
    <row r="975" spans="1:21" hidden="1">
      <c r="A975" s="243"/>
      <c r="B975" s="18"/>
      <c r="C975" s="18"/>
      <c r="D975" s="22"/>
      <c r="E975" s="22"/>
      <c r="F975" s="22"/>
      <c r="G975" s="22"/>
      <c r="H975" s="22"/>
      <c r="I975" s="22"/>
      <c r="J975" s="22"/>
      <c r="K975" s="22"/>
      <c r="L975" s="22"/>
      <c r="M975" s="22"/>
      <c r="N975" s="22"/>
      <c r="O975" s="22"/>
      <c r="P975" s="22"/>
      <c r="Q975" s="22"/>
      <c r="R975" s="22"/>
      <c r="S975" s="22"/>
      <c r="T975" s="22"/>
      <c r="U975" s="22"/>
    </row>
    <row r="976" spans="1:21" hidden="1">
      <c r="A976" s="243"/>
      <c r="B976" s="18"/>
      <c r="C976" s="18"/>
      <c r="D976" s="22"/>
      <c r="E976" s="22"/>
      <c r="F976" s="22"/>
      <c r="G976" s="22"/>
      <c r="H976" s="22"/>
      <c r="I976" s="22"/>
      <c r="J976" s="22"/>
      <c r="K976" s="22"/>
      <c r="L976" s="22"/>
      <c r="M976" s="22"/>
      <c r="N976" s="22"/>
      <c r="O976" s="22"/>
      <c r="P976" s="22"/>
      <c r="Q976" s="22"/>
      <c r="R976" s="22"/>
      <c r="S976" s="22"/>
      <c r="T976" s="22"/>
      <c r="U976" s="22"/>
    </row>
    <row r="977" spans="1:21" hidden="1">
      <c r="A977" s="243"/>
      <c r="B977" s="18"/>
      <c r="C977" s="18"/>
      <c r="D977" s="22"/>
      <c r="E977" s="22"/>
      <c r="F977" s="22"/>
      <c r="G977" s="22"/>
      <c r="H977" s="22"/>
      <c r="I977" s="22"/>
      <c r="J977" s="22"/>
      <c r="K977" s="22"/>
      <c r="L977" s="22"/>
      <c r="M977" s="22"/>
      <c r="N977" s="22"/>
      <c r="O977" s="22"/>
      <c r="P977" s="22"/>
      <c r="Q977" s="22"/>
      <c r="R977" s="22"/>
      <c r="S977" s="22"/>
      <c r="T977" s="22"/>
      <c r="U977" s="22"/>
    </row>
    <row r="978" spans="1:21" hidden="1">
      <c r="A978" s="243"/>
      <c r="B978" s="18"/>
      <c r="C978" s="18"/>
      <c r="D978" s="22"/>
      <c r="E978" s="22"/>
      <c r="F978" s="22"/>
      <c r="G978" s="22"/>
      <c r="H978" s="22"/>
      <c r="I978" s="22"/>
      <c r="J978" s="22"/>
      <c r="K978" s="22"/>
      <c r="L978" s="22"/>
      <c r="M978" s="22"/>
      <c r="N978" s="22"/>
      <c r="O978" s="22"/>
      <c r="P978" s="22"/>
      <c r="Q978" s="22"/>
      <c r="R978" s="22"/>
      <c r="S978" s="22"/>
      <c r="T978" s="22"/>
      <c r="U978" s="22"/>
    </row>
    <row r="979" spans="1:21" hidden="1">
      <c r="A979" s="243"/>
      <c r="B979" s="18"/>
      <c r="C979" s="18"/>
      <c r="D979" s="22"/>
      <c r="E979" s="22"/>
      <c r="F979" s="22"/>
      <c r="G979" s="22"/>
      <c r="H979" s="22"/>
      <c r="I979" s="22"/>
      <c r="J979" s="22"/>
      <c r="K979" s="22"/>
      <c r="L979" s="22"/>
      <c r="M979" s="22"/>
      <c r="N979" s="22"/>
      <c r="O979" s="22"/>
      <c r="P979" s="22"/>
      <c r="Q979" s="22"/>
      <c r="R979" s="22"/>
      <c r="S979" s="22"/>
      <c r="T979" s="22"/>
      <c r="U979" s="22"/>
    </row>
    <row r="980" spans="1:21" hidden="1">
      <c r="A980" s="243"/>
      <c r="B980" s="18"/>
      <c r="C980" s="18"/>
      <c r="D980" s="22"/>
      <c r="E980" s="22"/>
      <c r="F980" s="22"/>
      <c r="G980" s="22"/>
      <c r="H980" s="22"/>
      <c r="I980" s="22"/>
      <c r="J980" s="22"/>
      <c r="K980" s="22"/>
      <c r="L980" s="22"/>
      <c r="M980" s="22"/>
      <c r="N980" s="22"/>
      <c r="O980" s="22"/>
      <c r="P980" s="22"/>
      <c r="Q980" s="22"/>
      <c r="R980" s="22"/>
      <c r="S980" s="22"/>
      <c r="T980" s="22"/>
      <c r="U980" s="22"/>
    </row>
    <row r="981" spans="1:21" hidden="1">
      <c r="A981" s="243"/>
      <c r="B981" s="18"/>
      <c r="C981" s="18"/>
      <c r="D981" s="22"/>
      <c r="E981" s="22"/>
      <c r="F981" s="22"/>
      <c r="G981" s="22"/>
      <c r="H981" s="22"/>
      <c r="I981" s="22"/>
      <c r="J981" s="22"/>
      <c r="K981" s="22"/>
      <c r="L981" s="22"/>
      <c r="M981" s="22"/>
      <c r="N981" s="22"/>
      <c r="O981" s="22"/>
      <c r="P981" s="22"/>
      <c r="Q981" s="22"/>
      <c r="R981" s="22"/>
      <c r="S981" s="22"/>
      <c r="T981" s="22"/>
      <c r="U981" s="22"/>
    </row>
    <row r="982" spans="1:21" hidden="1">
      <c r="A982" s="243"/>
      <c r="B982" s="18"/>
      <c r="C982" s="18"/>
      <c r="D982" s="22"/>
      <c r="E982" s="22"/>
      <c r="F982" s="22"/>
      <c r="G982" s="22"/>
      <c r="H982" s="22"/>
      <c r="I982" s="22"/>
      <c r="J982" s="22"/>
      <c r="K982" s="22"/>
      <c r="L982" s="22"/>
      <c r="M982" s="22"/>
      <c r="N982" s="22"/>
      <c r="O982" s="22"/>
      <c r="P982" s="22"/>
      <c r="Q982" s="22"/>
      <c r="R982" s="22"/>
      <c r="S982" s="22"/>
      <c r="T982" s="22"/>
      <c r="U982" s="22"/>
    </row>
    <row r="983" spans="1:21" hidden="1">
      <c r="A983" s="243"/>
      <c r="B983" s="18"/>
      <c r="C983" s="18"/>
      <c r="D983" s="22"/>
      <c r="E983" s="22"/>
      <c r="F983" s="22"/>
      <c r="G983" s="22"/>
      <c r="H983" s="22"/>
      <c r="I983" s="22"/>
      <c r="J983" s="22"/>
      <c r="K983" s="22"/>
      <c r="L983" s="22"/>
      <c r="M983" s="22"/>
      <c r="N983" s="22"/>
      <c r="O983" s="22"/>
      <c r="P983" s="22"/>
      <c r="Q983" s="22"/>
      <c r="R983" s="22"/>
      <c r="S983" s="22"/>
      <c r="T983" s="22"/>
      <c r="U983" s="22"/>
    </row>
    <row r="984" spans="1:21" hidden="1">
      <c r="A984" s="243">
        <v>2</v>
      </c>
      <c r="B984" s="18" t="s">
        <v>155</v>
      </c>
      <c r="C984" s="18"/>
      <c r="D984" s="22"/>
      <c r="E984" s="22"/>
      <c r="F984" s="22"/>
      <c r="G984" s="22"/>
      <c r="H984" s="22"/>
      <c r="I984" s="22"/>
      <c r="J984" s="22"/>
      <c r="K984" s="22"/>
      <c r="L984" s="22"/>
      <c r="M984" s="22"/>
      <c r="N984" s="22"/>
      <c r="O984" s="22"/>
      <c r="P984" s="22"/>
      <c r="Q984" s="22"/>
      <c r="R984" s="22"/>
      <c r="S984" s="22"/>
      <c r="T984" s="22"/>
      <c r="U984" s="22"/>
    </row>
    <row r="985" spans="1:21" hidden="1">
      <c r="A985" s="243">
        <v>3</v>
      </c>
      <c r="B985" s="18" t="s">
        <v>162</v>
      </c>
      <c r="C985" s="18"/>
      <c r="D985" s="22"/>
      <c r="E985" s="22"/>
      <c r="F985" s="22"/>
      <c r="G985" s="22"/>
      <c r="H985" s="22"/>
      <c r="I985" s="22"/>
      <c r="J985" s="22"/>
      <c r="K985" s="22"/>
      <c r="L985" s="22"/>
      <c r="M985" s="22"/>
      <c r="N985" s="22"/>
      <c r="O985" s="22"/>
      <c r="P985" s="22"/>
      <c r="Q985" s="22"/>
      <c r="R985" s="22"/>
      <c r="S985" s="22"/>
      <c r="T985" s="22"/>
      <c r="U985" s="22"/>
    </row>
    <row r="986" spans="1:21" hidden="1">
      <c r="A986" s="243">
        <v>4</v>
      </c>
      <c r="B986" s="18" t="s">
        <v>163</v>
      </c>
      <c r="C986" s="18"/>
      <c r="D986" s="22"/>
      <c r="E986" s="22"/>
      <c r="F986" s="22"/>
      <c r="G986" s="22"/>
      <c r="H986" s="22"/>
      <c r="I986" s="22"/>
      <c r="J986" s="22"/>
      <c r="K986" s="22"/>
      <c r="L986" s="22"/>
      <c r="M986" s="22"/>
      <c r="N986" s="22"/>
      <c r="O986" s="22"/>
      <c r="P986" s="22"/>
      <c r="Q986" s="22"/>
      <c r="R986" s="22"/>
      <c r="S986" s="22"/>
      <c r="T986" s="22"/>
      <c r="U986" s="22"/>
    </row>
    <row r="987" spans="1:21">
      <c r="A987" s="173"/>
      <c r="D987" s="174"/>
      <c r="E987" s="174"/>
      <c r="F987" s="174"/>
      <c r="G987" s="174"/>
      <c r="H987" s="174"/>
      <c r="I987" s="174"/>
      <c r="J987" s="174"/>
      <c r="K987" s="174"/>
      <c r="L987" s="174"/>
      <c r="M987" s="174"/>
      <c r="N987" s="174"/>
      <c r="O987" s="174"/>
      <c r="P987" s="174"/>
      <c r="Q987" s="174"/>
      <c r="R987" s="174"/>
      <c r="S987" s="174"/>
      <c r="T987" s="174"/>
      <c r="U987" s="174"/>
    </row>
    <row r="988" spans="1:21">
      <c r="D988" s="174"/>
      <c r="E988" s="174"/>
      <c r="F988" s="174"/>
      <c r="G988" s="174"/>
      <c r="H988" s="174"/>
      <c r="I988" s="174"/>
      <c r="J988" s="174"/>
      <c r="K988" s="174"/>
      <c r="L988" s="174"/>
      <c r="M988" s="174"/>
      <c r="N988" s="174"/>
      <c r="O988" s="174"/>
      <c r="P988" s="174"/>
      <c r="Q988" s="174"/>
      <c r="R988" s="174"/>
      <c r="S988" s="174"/>
      <c r="T988" s="174"/>
      <c r="U988" s="174"/>
    </row>
  </sheetData>
  <mergeCells count="29">
    <mergeCell ref="V172:X172"/>
    <mergeCell ref="V295:X295"/>
    <mergeCell ref="V442:W442"/>
    <mergeCell ref="U5:U6"/>
    <mergeCell ref="D5:D6"/>
    <mergeCell ref="A5:A6"/>
    <mergeCell ref="V136:W136"/>
    <mergeCell ref="F5:F6"/>
    <mergeCell ref="H5:H6"/>
    <mergeCell ref="E5:E6"/>
    <mergeCell ref="S5:S6"/>
    <mergeCell ref="S1:U1"/>
    <mergeCell ref="A2:U2"/>
    <mergeCell ref="A3:U3"/>
    <mergeCell ref="B4:O4"/>
    <mergeCell ref="S4:U4"/>
    <mergeCell ref="M5:M6"/>
    <mergeCell ref="N5:N6"/>
    <mergeCell ref="T5:T6"/>
    <mergeCell ref="B5:B6"/>
    <mergeCell ref="O5:O6"/>
    <mergeCell ref="R5:R6"/>
    <mergeCell ref="K5:K6"/>
    <mergeCell ref="C5:C6"/>
    <mergeCell ref="G5:G6"/>
    <mergeCell ref="I5:I6"/>
    <mergeCell ref="P5:Q5"/>
    <mergeCell ref="J5:J6"/>
    <mergeCell ref="L5:L6"/>
  </mergeCells>
  <pageMargins left="0.62992125984251968" right="0.23622047244094491" top="0.74803149606299213" bottom="0.74803149606299213" header="0.31496062992125984" footer="0.31496062992125984"/>
  <pageSetup paperSize="8"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topLeftCell="A76" workbookViewId="0">
      <selection activeCell="E19" sqref="E19"/>
    </sheetView>
  </sheetViews>
  <sheetFormatPr defaultRowHeight="15.75"/>
  <cols>
    <col min="1" max="1" width="4.375" style="259" customWidth="1"/>
    <col min="2" max="2" width="44.375" style="255" customWidth="1"/>
    <col min="3" max="5" width="18.125" style="256" customWidth="1"/>
    <col min="6" max="6" width="60.625" style="255" customWidth="1"/>
    <col min="7" max="7" width="16.625" style="255" bestFit="1" customWidth="1"/>
    <col min="8" max="8" width="14" style="255" bestFit="1" customWidth="1"/>
    <col min="9" max="16384" width="9" style="255"/>
  </cols>
  <sheetData>
    <row r="1" spans="1:8">
      <c r="A1" s="254" t="s">
        <v>1181</v>
      </c>
      <c r="C1" s="256">
        <f>D8+'[1]45'!J6</f>
        <v>10327.290000000001</v>
      </c>
      <c r="D1" s="256" t="e">
        <f>C9+C36</f>
        <v>#REF!</v>
      </c>
      <c r="E1" s="256">
        <f>D8-'[1]ctmt-sn'!H270</f>
        <v>-41003527869.554802</v>
      </c>
    </row>
    <row r="2" spans="1:8">
      <c r="A2" s="257" t="s">
        <v>1182</v>
      </c>
      <c r="C2" s="256" t="e">
        <f>C8-C31-C32-C33-C72-C73-C70-C71</f>
        <v>#REF!</v>
      </c>
      <c r="D2" s="256" t="e">
        <f>C2-'[1]QT NSDP'!H53</f>
        <v>#REF!</v>
      </c>
      <c r="E2" s="256" t="e">
        <f>E9+E30</f>
        <v>#REF!</v>
      </c>
    </row>
    <row r="3" spans="1:8" ht="18.75">
      <c r="A3" s="1199" t="s">
        <v>1183</v>
      </c>
      <c r="B3" s="1199"/>
      <c r="C3" s="1199"/>
      <c r="D3" s="1199"/>
      <c r="E3" s="1199"/>
      <c r="F3" s="1199"/>
      <c r="G3" s="258">
        <v>46489303000</v>
      </c>
    </row>
    <row r="4" spans="1:8">
      <c r="B4" s="256" t="e">
        <f>C8-D8</f>
        <v>#REF!</v>
      </c>
      <c r="C4" s="256" t="e">
        <f>C8-C31-C32-C33-C71-C73</f>
        <v>#REF!</v>
      </c>
      <c r="D4" s="256">
        <f>D8-'[1]ctmt-sn'!H271</f>
        <v>-28811110369.554802</v>
      </c>
      <c r="E4" s="256" t="e">
        <f>C9+1500000000+970000000</f>
        <v>#REF!</v>
      </c>
      <c r="G4" s="258" t="e">
        <f>G3-C9</f>
        <v>#REF!</v>
      </c>
    </row>
    <row r="5" spans="1:8">
      <c r="B5" s="256"/>
      <c r="C5" s="256">
        <f>57060062768-D8</f>
        <v>57060062768</v>
      </c>
      <c r="D5" s="256">
        <f>57086087768-D8</f>
        <v>57086087768</v>
      </c>
      <c r="G5" s="258"/>
    </row>
    <row r="6" spans="1:8">
      <c r="C6" s="256" t="e">
        <f>C30+61942958304</f>
        <v>#REF!</v>
      </c>
      <c r="D6" s="256" t="e">
        <f>C8-D8</f>
        <v>#REF!</v>
      </c>
      <c r="E6" s="256" t="e">
        <f>D6+D4</f>
        <v>#REF!</v>
      </c>
      <c r="F6" s="260" t="s">
        <v>1184</v>
      </c>
      <c r="G6" s="258"/>
    </row>
    <row r="7" spans="1:8" s="265" customFormat="1" ht="22.5" customHeight="1">
      <c r="A7" s="261" t="s">
        <v>3</v>
      </c>
      <c r="B7" s="262" t="s">
        <v>214</v>
      </c>
      <c r="C7" s="263" t="s">
        <v>1185</v>
      </c>
      <c r="D7" s="263" t="s">
        <v>1186</v>
      </c>
      <c r="E7" s="263" t="s">
        <v>1187</v>
      </c>
      <c r="F7" s="262" t="s">
        <v>1188</v>
      </c>
      <c r="G7" s="264"/>
    </row>
    <row r="8" spans="1:8" s="269" customFormat="1" ht="22.5" customHeight="1">
      <c r="A8" s="266"/>
      <c r="B8" s="267" t="s">
        <v>964</v>
      </c>
      <c r="C8" s="268" t="e">
        <f>C9+C30</f>
        <v>#REF!</v>
      </c>
      <c r="D8" s="268">
        <f>D9+D30</f>
        <v>0</v>
      </c>
      <c r="E8" s="268" t="e">
        <f>D9+E9</f>
        <v>#REF!</v>
      </c>
      <c r="F8" s="267"/>
      <c r="G8" s="269" t="s">
        <v>1189</v>
      </c>
    </row>
    <row r="9" spans="1:8" s="275" customFormat="1">
      <c r="A9" s="270" t="s">
        <v>14</v>
      </c>
      <c r="B9" s="271" t="s">
        <v>1190</v>
      </c>
      <c r="C9" s="272" t="e">
        <f>SUM(C11:C29)</f>
        <v>#REF!</v>
      </c>
      <c r="D9" s="272">
        <f>SUM(D11:D29)</f>
        <v>0</v>
      </c>
      <c r="E9" s="272" t="e">
        <f>SUM(E11:E29)</f>
        <v>#REF!</v>
      </c>
      <c r="F9" s="273"/>
      <c r="G9" s="274">
        <v>57514965960</v>
      </c>
      <c r="H9" s="256"/>
    </row>
    <row r="10" spans="1:8" s="275" customFormat="1">
      <c r="A10" s="270"/>
      <c r="B10" s="271" t="s">
        <v>1191</v>
      </c>
      <c r="C10" s="272" t="e">
        <f>C9-C11</f>
        <v>#REF!</v>
      </c>
      <c r="D10" s="272">
        <f>D9-D11</f>
        <v>0</v>
      </c>
      <c r="E10" s="272" t="e">
        <f>E9-E11</f>
        <v>#REF!</v>
      </c>
      <c r="F10" s="273"/>
      <c r="G10" s="274"/>
      <c r="H10" s="256"/>
    </row>
    <row r="11" spans="1:8">
      <c r="A11" s="276">
        <v>1</v>
      </c>
      <c r="B11" s="277" t="s">
        <v>1192</v>
      </c>
      <c r="C11" s="278">
        <f>'[1]QT von Dtu'!C9+D11</f>
        <v>0</v>
      </c>
      <c r="D11" s="278"/>
      <c r="E11" s="278">
        <f>C11-D11</f>
        <v>0</v>
      </c>
      <c r="F11" s="273"/>
      <c r="G11" s="279" t="e">
        <f>C9-G9</f>
        <v>#REF!</v>
      </c>
      <c r="H11" s="256" t="e">
        <f>G11-779000000+415300000-2155572000</f>
        <v>#REF!</v>
      </c>
    </row>
    <row r="12" spans="1:8" s="280" customFormat="1">
      <c r="A12" s="276">
        <v>2</v>
      </c>
      <c r="B12" s="277" t="s">
        <v>1193</v>
      </c>
      <c r="C12" s="278">
        <f>'[1]QT von Dtu'!C10+D12</f>
        <v>10177.186000000002</v>
      </c>
      <c r="D12" s="278"/>
      <c r="E12" s="278">
        <f t="shared" ref="E12:E30" si="0">C12-D12</f>
        <v>10177.186000000002</v>
      </c>
      <c r="F12" s="277"/>
    </row>
    <row r="13" spans="1:8" s="280" customFormat="1">
      <c r="A13" s="276"/>
      <c r="B13" s="277" t="s">
        <v>1194</v>
      </c>
      <c r="C13" s="278">
        <f>'[1]QT von Dtu'!C11+D13</f>
        <v>0</v>
      </c>
      <c r="D13" s="278"/>
      <c r="E13" s="278">
        <f t="shared" si="0"/>
        <v>0</v>
      </c>
      <c r="F13" s="277"/>
    </row>
    <row r="14" spans="1:8" s="280" customFormat="1">
      <c r="A14" s="276">
        <v>3</v>
      </c>
      <c r="B14" s="277" t="s">
        <v>1195</v>
      </c>
      <c r="C14" s="278">
        <f>'[1]QT von Dtu'!C12+D14</f>
        <v>0</v>
      </c>
      <c r="D14" s="278"/>
      <c r="E14" s="278">
        <f t="shared" si="0"/>
        <v>0</v>
      </c>
      <c r="F14" s="277"/>
      <c r="H14" s="281"/>
    </row>
    <row r="15" spans="1:8" s="280" customFormat="1">
      <c r="A15" s="276">
        <v>4</v>
      </c>
      <c r="B15" s="277" t="s">
        <v>1196</v>
      </c>
      <c r="C15" s="278">
        <f>'[1]QT von Dtu'!C13+D15</f>
        <v>0</v>
      </c>
      <c r="D15" s="278"/>
      <c r="E15" s="278">
        <f t="shared" si="0"/>
        <v>0</v>
      </c>
      <c r="F15" s="277"/>
      <c r="H15" s="281"/>
    </row>
    <row r="16" spans="1:8" s="280" customFormat="1">
      <c r="A16" s="276">
        <v>5</v>
      </c>
      <c r="B16" s="277" t="s">
        <v>1197</v>
      </c>
      <c r="C16" s="278">
        <f>'[1]QT von Dtu'!C14+D16</f>
        <v>0</v>
      </c>
      <c r="D16" s="278"/>
      <c r="E16" s="278">
        <f t="shared" si="0"/>
        <v>0</v>
      </c>
      <c r="F16" s="273"/>
      <c r="H16" s="281"/>
    </row>
    <row r="17" spans="1:8" s="280" customFormat="1">
      <c r="A17" s="276">
        <v>6</v>
      </c>
      <c r="B17" s="282" t="s">
        <v>1198</v>
      </c>
      <c r="C17" s="278">
        <f>'[1]QT von Dtu'!C15+D17</f>
        <v>0</v>
      </c>
      <c r="D17" s="278"/>
      <c r="E17" s="278">
        <f t="shared" si="0"/>
        <v>0</v>
      </c>
      <c r="F17" s="277"/>
      <c r="G17" s="283"/>
    </row>
    <row r="18" spans="1:8" s="280" customFormat="1">
      <c r="A18" s="276">
        <v>7</v>
      </c>
      <c r="B18" s="282" t="s">
        <v>1199</v>
      </c>
      <c r="C18" s="278">
        <f>'[1]QT von Dtu'!C16+D18</f>
        <v>0</v>
      </c>
      <c r="D18" s="278"/>
      <c r="E18" s="278">
        <f t="shared" si="0"/>
        <v>0</v>
      </c>
      <c r="F18" s="277"/>
      <c r="G18" s="283"/>
    </row>
    <row r="19" spans="1:8" s="280" customFormat="1">
      <c r="A19" s="276">
        <v>8</v>
      </c>
      <c r="B19" s="282" t="s">
        <v>1200</v>
      </c>
      <c r="C19" s="278">
        <f>'[1]QT von Dtu'!C17+D19</f>
        <v>17390.016735999998</v>
      </c>
      <c r="D19" s="284"/>
      <c r="E19" s="278">
        <f t="shared" si="0"/>
        <v>17390.016735999998</v>
      </c>
      <c r="F19" s="277"/>
      <c r="G19" s="283"/>
    </row>
    <row r="20" spans="1:8" s="280" customFormat="1" ht="23.25" customHeight="1">
      <c r="A20" s="276">
        <v>9</v>
      </c>
      <c r="B20" s="282" t="s">
        <v>1201</v>
      </c>
      <c r="C20" s="278">
        <f>'[1]QT von Dtu'!C18+D20</f>
        <v>0</v>
      </c>
      <c r="D20" s="278"/>
      <c r="E20" s="278">
        <f t="shared" si="0"/>
        <v>0</v>
      </c>
      <c r="F20" s="277"/>
      <c r="G20" s="283"/>
    </row>
    <row r="21" spans="1:8" s="280" customFormat="1">
      <c r="A21" s="276">
        <v>10</v>
      </c>
      <c r="B21" s="282" t="s">
        <v>1202</v>
      </c>
      <c r="C21" s="278">
        <f>'[1]QT von Dtu'!C19+D21</f>
        <v>0</v>
      </c>
      <c r="D21" s="278"/>
      <c r="E21" s="278">
        <f t="shared" si="0"/>
        <v>0</v>
      </c>
      <c r="F21" s="277"/>
      <c r="G21" s="283"/>
    </row>
    <row r="22" spans="1:8" s="280" customFormat="1">
      <c r="A22" s="276">
        <v>11</v>
      </c>
      <c r="B22" s="282" t="s">
        <v>1203</v>
      </c>
      <c r="C22" s="278">
        <f t="shared" ref="C22:C28" si="1">D22</f>
        <v>0</v>
      </c>
      <c r="D22" s="278"/>
      <c r="E22" s="278">
        <f t="shared" si="0"/>
        <v>0</v>
      </c>
      <c r="F22" s="277"/>
      <c r="G22" s="283"/>
    </row>
    <row r="23" spans="1:8" s="280" customFormat="1">
      <c r="A23" s="276">
        <v>12</v>
      </c>
      <c r="B23" s="282" t="s">
        <v>1204</v>
      </c>
      <c r="C23" s="278">
        <f t="shared" si="1"/>
        <v>0</v>
      </c>
      <c r="D23" s="278"/>
      <c r="E23" s="278">
        <f t="shared" si="0"/>
        <v>0</v>
      </c>
      <c r="F23" s="277"/>
      <c r="G23" s="283"/>
    </row>
    <row r="24" spans="1:8" s="280" customFormat="1">
      <c r="A24" s="276">
        <v>13</v>
      </c>
      <c r="B24" s="282" t="s">
        <v>1205</v>
      </c>
      <c r="C24" s="278">
        <f t="shared" si="1"/>
        <v>0</v>
      </c>
      <c r="D24" s="278"/>
      <c r="E24" s="278">
        <f t="shared" si="0"/>
        <v>0</v>
      </c>
      <c r="F24" s="277"/>
      <c r="G24" s="283"/>
    </row>
    <row r="25" spans="1:8" s="280" customFormat="1">
      <c r="A25" s="276">
        <v>14</v>
      </c>
      <c r="B25" s="285" t="s">
        <v>1206</v>
      </c>
      <c r="C25" s="286">
        <f t="shared" si="1"/>
        <v>0</v>
      </c>
      <c r="D25" s="286"/>
      <c r="E25" s="278">
        <f t="shared" si="0"/>
        <v>0</v>
      </c>
      <c r="F25" s="277"/>
      <c r="G25" s="283"/>
    </row>
    <row r="26" spans="1:8" s="280" customFormat="1">
      <c r="A26" s="276"/>
      <c r="B26" s="287" t="s">
        <v>1207</v>
      </c>
      <c r="C26" s="278">
        <f t="shared" si="1"/>
        <v>0</v>
      </c>
      <c r="D26" s="278">
        <f>'[1]ctmt-sn'!H218</f>
        <v>0</v>
      </c>
      <c r="E26" s="278">
        <f t="shared" si="0"/>
        <v>0</v>
      </c>
      <c r="F26" s="277"/>
      <c r="G26" s="283"/>
    </row>
    <row r="27" spans="1:8" s="280" customFormat="1">
      <c r="A27" s="276"/>
      <c r="B27" s="287" t="s">
        <v>1208</v>
      </c>
      <c r="C27" s="278">
        <f t="shared" si="1"/>
        <v>0</v>
      </c>
      <c r="D27" s="278"/>
      <c r="E27" s="278">
        <f t="shared" si="0"/>
        <v>0</v>
      </c>
      <c r="F27" s="277"/>
      <c r="G27" s="283"/>
    </row>
    <row r="28" spans="1:8" s="280" customFormat="1">
      <c r="A28" s="276">
        <v>15</v>
      </c>
      <c r="B28" s="288" t="s">
        <v>1209</v>
      </c>
      <c r="C28" s="278">
        <f t="shared" si="1"/>
        <v>0</v>
      </c>
      <c r="D28" s="278"/>
      <c r="E28" s="278">
        <f t="shared" si="0"/>
        <v>0</v>
      </c>
      <c r="F28" s="277"/>
      <c r="G28" s="283"/>
    </row>
    <row r="29" spans="1:8" s="280" customFormat="1">
      <c r="A29" s="276">
        <v>16</v>
      </c>
      <c r="B29" s="277" t="s">
        <v>1210</v>
      </c>
      <c r="C29" s="278" t="e">
        <f>'[1]QT von Dtu'!C20+D29</f>
        <v>#REF!</v>
      </c>
      <c r="D29" s="278"/>
      <c r="E29" s="278" t="e">
        <f t="shared" si="0"/>
        <v>#REF!</v>
      </c>
      <c r="F29" s="277"/>
      <c r="G29" s="283"/>
    </row>
    <row r="30" spans="1:8" s="275" customFormat="1" ht="22.5" customHeight="1">
      <c r="A30" s="270" t="s">
        <v>19</v>
      </c>
      <c r="B30" s="271" t="s">
        <v>1211</v>
      </c>
      <c r="C30" s="272" t="e">
        <f>C31+C32+C33+C37+C70+C71+C72+C73+C75+C69+C34+C36</f>
        <v>#REF!</v>
      </c>
      <c r="D30" s="272">
        <f>SUM(D31:D77)</f>
        <v>0</v>
      </c>
      <c r="E30" s="272" t="e">
        <f t="shared" si="0"/>
        <v>#REF!</v>
      </c>
      <c r="F30" s="289">
        <v>329340678144</v>
      </c>
      <c r="G30" s="290">
        <v>329340678144</v>
      </c>
      <c r="H30" s="274"/>
    </row>
    <row r="31" spans="1:8" s="275" customFormat="1" ht="22.5" customHeight="1">
      <c r="A31" s="270">
        <v>1</v>
      </c>
      <c r="B31" s="175" t="s">
        <v>966</v>
      </c>
      <c r="C31" s="278">
        <f>'[1]QT von Dtu'!C29</f>
        <v>0</v>
      </c>
      <c r="D31" s="278"/>
      <c r="E31" s="278"/>
      <c r="F31" s="289"/>
      <c r="G31" s="290"/>
      <c r="H31" s="274"/>
    </row>
    <row r="32" spans="1:8">
      <c r="A32" s="276">
        <v>2</v>
      </c>
      <c r="B32" s="277" t="s">
        <v>1212</v>
      </c>
      <c r="C32" s="278">
        <f>'[1]QT von Dtu'!C30</f>
        <v>374982.41000000003</v>
      </c>
      <c r="D32" s="278"/>
      <c r="E32" s="278"/>
      <c r="F32" s="291" t="e">
        <f>F30-C30</f>
        <v>#REF!</v>
      </c>
      <c r="G32" s="292" t="e">
        <f>C30-G30</f>
        <v>#REF!</v>
      </c>
    </row>
    <row r="33" spans="1:7">
      <c r="A33" s="276">
        <v>3</v>
      </c>
      <c r="B33" s="176" t="s">
        <v>1213</v>
      </c>
      <c r="C33" s="278">
        <f>'[1]QT von Dtu'!C31</f>
        <v>118198.07</v>
      </c>
      <c r="D33" s="278"/>
      <c r="E33" s="278"/>
      <c r="F33" s="277"/>
      <c r="G33" s="293"/>
    </row>
    <row r="34" spans="1:7">
      <c r="A34" s="276"/>
      <c r="B34" s="176" t="s">
        <v>1213</v>
      </c>
      <c r="C34" s="278" t="e">
        <f>'[1]QT von Dtu'!C32</f>
        <v>#REF!</v>
      </c>
      <c r="D34" s="278"/>
      <c r="E34" s="278"/>
      <c r="F34" s="277"/>
      <c r="G34" s="293"/>
    </row>
    <row r="35" spans="1:7">
      <c r="A35" s="276"/>
      <c r="B35" s="176" t="s">
        <v>968</v>
      </c>
      <c r="C35" s="278" t="e">
        <f>'[1]QT von Dtu'!C33</f>
        <v>#REF!</v>
      </c>
      <c r="D35" s="278"/>
      <c r="E35" s="278"/>
      <c r="F35" s="277"/>
      <c r="G35" s="293"/>
    </row>
    <row r="36" spans="1:7">
      <c r="A36" s="276"/>
      <c r="B36" s="176" t="s">
        <v>1148</v>
      </c>
      <c r="C36" s="278">
        <f>'[1]QT von Dtu'!C34</f>
        <v>0</v>
      </c>
      <c r="D36" s="278"/>
      <c r="E36" s="278"/>
      <c r="F36" s="277"/>
      <c r="G36" s="293"/>
    </row>
    <row r="37" spans="1:7">
      <c r="A37" s="276">
        <v>4</v>
      </c>
      <c r="B37" s="277" t="s">
        <v>967</v>
      </c>
      <c r="C37" s="278">
        <f>SUM(C38:C67)</f>
        <v>505212.27469700004</v>
      </c>
      <c r="D37" s="278"/>
      <c r="E37" s="278"/>
      <c r="F37" s="277"/>
      <c r="G37" s="293"/>
    </row>
    <row r="38" spans="1:7">
      <c r="A38" s="276"/>
      <c r="B38" s="294" t="s">
        <v>258</v>
      </c>
      <c r="C38" s="286">
        <f>'[1]QT von Dtu'!C36</f>
        <v>185282.21685</v>
      </c>
      <c r="D38" s="295"/>
      <c r="E38" s="295"/>
      <c r="F38" s="277"/>
      <c r="G38" s="293"/>
    </row>
    <row r="39" spans="1:7" ht="30">
      <c r="A39" s="276"/>
      <c r="B39" s="294" t="s">
        <v>259</v>
      </c>
      <c r="C39" s="286">
        <f>'[1]QT von Dtu'!C37</f>
        <v>23819.947</v>
      </c>
      <c r="D39" s="295"/>
      <c r="E39" s="295"/>
      <c r="F39" s="277"/>
      <c r="G39" s="293"/>
    </row>
    <row r="40" spans="1:7" ht="30">
      <c r="A40" s="276"/>
      <c r="B40" s="294" t="s">
        <v>260</v>
      </c>
      <c r="C40" s="286">
        <f>'[1]QT von Dtu'!C38</f>
        <v>43308.15</v>
      </c>
      <c r="D40" s="295"/>
      <c r="E40" s="295"/>
      <c r="F40" s="277"/>
      <c r="G40" s="293"/>
    </row>
    <row r="41" spans="1:7" ht="30">
      <c r="A41" s="276"/>
      <c r="B41" s="294" t="s">
        <v>261</v>
      </c>
      <c r="C41" s="286">
        <f>'[1]QT von Dtu'!C39</f>
        <v>15552.773681000001</v>
      </c>
      <c r="D41" s="295"/>
      <c r="E41" s="295"/>
      <c r="F41" s="277"/>
      <c r="G41" s="293"/>
    </row>
    <row r="42" spans="1:7" ht="45">
      <c r="A42" s="276"/>
      <c r="B42" s="294" t="s">
        <v>262</v>
      </c>
      <c r="C42" s="286">
        <f>'[1]QT von Dtu'!C40</f>
        <v>55777.385999999999</v>
      </c>
      <c r="D42" s="295"/>
      <c r="E42" s="295"/>
      <c r="F42" s="277"/>
      <c r="G42" s="293"/>
    </row>
    <row r="43" spans="1:7">
      <c r="A43" s="276"/>
      <c r="B43" s="294" t="s">
        <v>263</v>
      </c>
      <c r="C43" s="286">
        <f>'[1]QT von Dtu'!C41</f>
        <v>9083.9138999999996</v>
      </c>
      <c r="D43" s="295"/>
      <c r="E43" s="295"/>
      <c r="F43" s="277"/>
      <c r="G43" s="293"/>
    </row>
    <row r="44" spans="1:7" ht="30">
      <c r="A44" s="276"/>
      <c r="B44" s="294" t="s">
        <v>264</v>
      </c>
      <c r="C44" s="286">
        <f>'[1]QT von Dtu'!C42</f>
        <v>36001.044000000002</v>
      </c>
      <c r="D44" s="295"/>
      <c r="E44" s="295"/>
      <c r="F44" s="277"/>
      <c r="G44" s="293"/>
    </row>
    <row r="45" spans="1:7" ht="30">
      <c r="A45" s="276"/>
      <c r="B45" s="294" t="s">
        <v>265</v>
      </c>
      <c r="C45" s="286">
        <f>'[1]QT von Dtu'!C43</f>
        <v>109969.659</v>
      </c>
      <c r="D45" s="295"/>
      <c r="E45" s="295"/>
      <c r="F45" s="277"/>
      <c r="G45" s="293"/>
    </row>
    <row r="46" spans="1:7">
      <c r="A46" s="276"/>
      <c r="B46" s="294" t="s">
        <v>266</v>
      </c>
      <c r="C46" s="286">
        <f>'[1]QT von Dtu'!C44</f>
        <v>8568.7126819999994</v>
      </c>
      <c r="D46" s="295"/>
      <c r="E46" s="295"/>
      <c r="F46" s="277"/>
      <c r="G46" s="293"/>
    </row>
    <row r="47" spans="1:7">
      <c r="A47" s="276"/>
      <c r="B47" s="294" t="s">
        <v>267</v>
      </c>
      <c r="C47" s="286">
        <f>'[1]QT von Dtu'!C45</f>
        <v>3406.6010000000001</v>
      </c>
      <c r="D47" s="295"/>
      <c r="E47" s="295"/>
      <c r="F47" s="277"/>
      <c r="G47" s="293"/>
    </row>
    <row r="48" spans="1:7">
      <c r="A48" s="276"/>
      <c r="B48" s="294" t="s">
        <v>268</v>
      </c>
      <c r="C48" s="286">
        <f>'[1]QT von Dtu'!C46</f>
        <v>3590.3960000000002</v>
      </c>
      <c r="D48" s="295"/>
      <c r="E48" s="295"/>
      <c r="F48" s="277"/>
      <c r="G48" s="293"/>
    </row>
    <row r="49" spans="1:7">
      <c r="A49" s="276"/>
      <c r="B49" s="294" t="s">
        <v>269</v>
      </c>
      <c r="C49" s="286">
        <f>'[1]QT von Dtu'!C47</f>
        <v>18.024000000000001</v>
      </c>
      <c r="D49" s="295"/>
      <c r="E49" s="295"/>
      <c r="F49" s="277"/>
      <c r="G49" s="293"/>
    </row>
    <row r="50" spans="1:7">
      <c r="A50" s="276"/>
      <c r="B50" s="294" t="s">
        <v>270</v>
      </c>
      <c r="C50" s="286">
        <f>'[1]QT von Dtu'!C48</f>
        <v>51.158000000000001</v>
      </c>
      <c r="D50" s="295"/>
      <c r="E50" s="295"/>
      <c r="F50" s="277"/>
      <c r="G50" s="293"/>
    </row>
    <row r="51" spans="1:7" ht="30">
      <c r="A51" s="276"/>
      <c r="B51" s="294" t="s">
        <v>271</v>
      </c>
      <c r="C51" s="286">
        <f>'[1]QT von Dtu'!C49</f>
        <v>174.69399999999999</v>
      </c>
      <c r="D51" s="295"/>
      <c r="E51" s="295"/>
      <c r="F51" s="277"/>
      <c r="G51" s="293"/>
    </row>
    <row r="52" spans="1:7" ht="30">
      <c r="A52" s="276"/>
      <c r="B52" s="294" t="s">
        <v>272</v>
      </c>
      <c r="C52" s="286">
        <f>'[1]QT von Dtu'!C50</f>
        <v>1245.961256</v>
      </c>
      <c r="D52" s="295"/>
      <c r="E52" s="295"/>
      <c r="F52" s="277"/>
      <c r="G52" s="293"/>
    </row>
    <row r="53" spans="1:7" ht="30">
      <c r="A53" s="276"/>
      <c r="B53" s="294" t="s">
        <v>273</v>
      </c>
      <c r="C53" s="286">
        <f>'[1]QT von Dtu'!C51</f>
        <v>350.60599999999999</v>
      </c>
      <c r="D53" s="295"/>
      <c r="E53" s="295"/>
      <c r="F53" s="277"/>
      <c r="G53" s="293"/>
    </row>
    <row r="54" spans="1:7" ht="30">
      <c r="A54" s="276"/>
      <c r="B54" s="294" t="s">
        <v>274</v>
      </c>
      <c r="C54" s="286">
        <f>'[1]QT von Dtu'!C52</f>
        <v>575.94899999999996</v>
      </c>
      <c r="D54" s="295"/>
      <c r="E54" s="295"/>
      <c r="F54" s="277"/>
      <c r="G54" s="293"/>
    </row>
    <row r="55" spans="1:7">
      <c r="A55" s="276"/>
      <c r="B55" s="294" t="s">
        <v>275</v>
      </c>
      <c r="C55" s="286">
        <f>'[1]QT von Dtu'!C53</f>
        <v>8435.0823280000004</v>
      </c>
      <c r="D55" s="295"/>
      <c r="E55" s="295"/>
      <c r="F55" s="277"/>
      <c r="G55" s="293"/>
    </row>
    <row r="56" spans="1:7">
      <c r="A56" s="276"/>
      <c r="B56" s="296"/>
      <c r="C56" s="286">
        <f>'[1]QT von Dtu'!C55</f>
        <v>0</v>
      </c>
      <c r="D56" s="295"/>
      <c r="E56" s="295"/>
      <c r="F56" s="277"/>
      <c r="G56" s="293"/>
    </row>
    <row r="57" spans="1:7">
      <c r="A57" s="276"/>
      <c r="B57" s="296"/>
      <c r="C57" s="286">
        <f>'[1]QT von Dtu'!C56</f>
        <v>0</v>
      </c>
      <c r="D57" s="295"/>
      <c r="E57" s="295"/>
      <c r="F57" s="277"/>
      <c r="G57" s="293"/>
    </row>
    <row r="58" spans="1:7">
      <c r="A58" s="276"/>
      <c r="B58" s="297"/>
      <c r="C58" s="286">
        <f>'[1]QT von Dtu'!C57</f>
        <v>0</v>
      </c>
      <c r="D58" s="295"/>
      <c r="E58" s="295"/>
      <c r="F58" s="277"/>
      <c r="G58" s="293"/>
    </row>
    <row r="59" spans="1:7">
      <c r="A59" s="276"/>
      <c r="B59" s="297"/>
      <c r="C59" s="286">
        <f>'[1]QT von Dtu'!C58</f>
        <v>0</v>
      </c>
      <c r="D59" s="295"/>
      <c r="E59" s="295"/>
      <c r="F59" s="277"/>
      <c r="G59" s="293"/>
    </row>
    <row r="60" spans="1:7">
      <c r="A60" s="276"/>
      <c r="B60" s="298"/>
      <c r="C60" s="286">
        <f>'[1]QT von Dtu'!C59</f>
        <v>0</v>
      </c>
      <c r="D60" s="295"/>
      <c r="E60" s="295"/>
      <c r="F60" s="277"/>
      <c r="G60" s="293"/>
    </row>
    <row r="61" spans="1:7">
      <c r="A61" s="276"/>
      <c r="B61" s="297"/>
      <c r="C61" s="286">
        <f>'[1]QT von Dtu'!C60</f>
        <v>0</v>
      </c>
      <c r="D61" s="295"/>
      <c r="E61" s="295"/>
      <c r="F61" s="277"/>
      <c r="G61" s="293"/>
    </row>
    <row r="62" spans="1:7">
      <c r="A62" s="276"/>
      <c r="B62" s="297"/>
      <c r="C62" s="286">
        <f>'[1]QT von Dtu'!C61</f>
        <v>0</v>
      </c>
      <c r="D62" s="295"/>
      <c r="E62" s="295"/>
      <c r="F62" s="277"/>
      <c r="G62" s="293"/>
    </row>
    <row r="63" spans="1:7">
      <c r="A63" s="276"/>
      <c r="B63" s="298"/>
      <c r="C63" s="286">
        <f>'[1]QT von Dtu'!C62</f>
        <v>0</v>
      </c>
      <c r="D63" s="295"/>
      <c r="E63" s="295"/>
      <c r="F63" s="277"/>
      <c r="G63" s="293"/>
    </row>
    <row r="64" spans="1:7">
      <c r="A64" s="276"/>
      <c r="B64" s="299"/>
      <c r="C64" s="286">
        <f>'[1]QT von Dtu'!C63</f>
        <v>0</v>
      </c>
      <c r="D64" s="295"/>
      <c r="E64" s="295"/>
      <c r="F64" s="277"/>
      <c r="G64" s="293"/>
    </row>
    <row r="65" spans="1:7">
      <c r="A65" s="276"/>
      <c r="B65" s="298"/>
      <c r="C65" s="286">
        <f>'[1]QT von Dtu'!C64</f>
        <v>0</v>
      </c>
      <c r="D65" s="295"/>
      <c r="E65" s="295"/>
      <c r="F65" s="277"/>
      <c r="G65" s="293"/>
    </row>
    <row r="66" spans="1:7">
      <c r="A66" s="276">
        <v>4</v>
      </c>
      <c r="B66" s="297"/>
      <c r="C66" s="286">
        <f>'[1]QT von Dtu'!C66</f>
        <v>0</v>
      </c>
      <c r="D66" s="278"/>
      <c r="E66" s="278"/>
      <c r="F66" s="278"/>
      <c r="G66" s="293"/>
    </row>
    <row r="67" spans="1:7">
      <c r="A67" s="276">
        <v>5</v>
      </c>
      <c r="B67" s="297"/>
      <c r="C67" s="286">
        <f>'[1]QT von Dtu'!C67</f>
        <v>0</v>
      </c>
      <c r="D67" s="278"/>
      <c r="E67" s="278"/>
      <c r="F67" s="277"/>
    </row>
    <row r="68" spans="1:7">
      <c r="A68" s="276">
        <v>6</v>
      </c>
      <c r="B68" s="296"/>
      <c r="C68" s="286">
        <f>'[1]QT von Dtu'!C68</f>
        <v>0</v>
      </c>
      <c r="D68" s="278"/>
      <c r="E68" s="278"/>
      <c r="F68" s="278"/>
    </row>
    <row r="69" spans="1:7">
      <c r="A69" s="276">
        <v>7</v>
      </c>
      <c r="B69" s="296"/>
      <c r="C69" s="286">
        <f>'[1]QT von Dtu'!C69</f>
        <v>0</v>
      </c>
      <c r="D69" s="278"/>
      <c r="E69" s="278"/>
      <c r="F69" s="277"/>
    </row>
    <row r="70" spans="1:7">
      <c r="A70" s="276">
        <v>8</v>
      </c>
      <c r="B70" s="296"/>
      <c r="C70" s="286">
        <f>'[1]QT von Dtu'!C70</f>
        <v>0</v>
      </c>
      <c r="D70" s="278"/>
      <c r="E70" s="278"/>
      <c r="F70" s="277"/>
    </row>
    <row r="71" spans="1:7">
      <c r="A71" s="276">
        <v>9</v>
      </c>
      <c r="B71" s="296" t="s">
        <v>1214</v>
      </c>
      <c r="C71" s="286">
        <f>'[1]QT von Dtu'!C71</f>
        <v>30826.799999999999</v>
      </c>
      <c r="D71" s="278"/>
      <c r="E71" s="278"/>
      <c r="F71" s="277"/>
    </row>
    <row r="72" spans="1:7">
      <c r="A72" s="276">
        <v>10</v>
      </c>
      <c r="B72" s="296" t="s">
        <v>1215</v>
      </c>
      <c r="C72" s="286">
        <f>'[1]QT von Dtu'!C72</f>
        <v>32742.15</v>
      </c>
      <c r="D72" s="278"/>
      <c r="E72" s="278"/>
      <c r="F72" s="277"/>
    </row>
    <row r="73" spans="1:7">
      <c r="A73" s="276">
        <v>11</v>
      </c>
      <c r="B73" s="300" t="s">
        <v>1216</v>
      </c>
      <c r="C73" s="278">
        <f>'[1]QT von Dtu'!C65</f>
        <v>29492.574264000003</v>
      </c>
      <c r="D73" s="278"/>
      <c r="E73" s="278"/>
      <c r="F73" s="277"/>
    </row>
    <row r="74" spans="1:7">
      <c r="A74" s="276">
        <v>12</v>
      </c>
      <c r="B74" s="301" t="s">
        <v>1180</v>
      </c>
      <c r="C74" s="278" t="e">
        <f>'[1]QT von Dtu'!C74</f>
        <v>#REF!</v>
      </c>
      <c r="D74" s="278"/>
      <c r="E74" s="278"/>
      <c r="F74" s="278"/>
    </row>
    <row r="75" spans="1:7">
      <c r="A75" s="276">
        <v>13</v>
      </c>
      <c r="B75" s="300"/>
      <c r="C75" s="286">
        <f>'[1]QT von Dtu'!C75</f>
        <v>0</v>
      </c>
      <c r="D75" s="278"/>
      <c r="E75" s="278"/>
      <c r="F75" s="278"/>
    </row>
    <row r="76" spans="1:7">
      <c r="A76" s="276"/>
      <c r="B76" s="300"/>
      <c r="C76" s="278">
        <v>0</v>
      </c>
      <c r="D76" s="278"/>
      <c r="E76" s="278"/>
      <c r="F76" s="278"/>
    </row>
    <row r="77" spans="1:7" s="303" customFormat="1">
      <c r="A77" s="276"/>
      <c r="B77" s="300"/>
      <c r="C77" s="284">
        <v>0</v>
      </c>
      <c r="D77" s="284"/>
      <c r="E77" s="284"/>
      <c r="F77" s="302"/>
    </row>
    <row r="78" spans="1:7" s="303" customFormat="1">
      <c r="A78" s="276"/>
      <c r="B78" s="304"/>
      <c r="C78" s="284">
        <v>1000000</v>
      </c>
      <c r="D78" s="284"/>
      <c r="E78" s="284"/>
      <c r="F78" s="304"/>
    </row>
    <row r="79" spans="1:7">
      <c r="C79" s="256" t="e">
        <f>C30-C31-C32-C33-C71-C72-C73</f>
        <v>#REF!</v>
      </c>
    </row>
    <row r="80" spans="1:7">
      <c r="B80" s="255" t="s">
        <v>1217</v>
      </c>
      <c r="C80" s="256" t="e">
        <f>#REF!*C78</f>
        <v>#REF!</v>
      </c>
      <c r="F80" s="256"/>
    </row>
    <row r="81" spans="2:3">
      <c r="B81" s="300" t="s">
        <v>1218</v>
      </c>
      <c r="C81" s="256" t="e">
        <f>#REF!*1000000</f>
        <v>#REF!</v>
      </c>
    </row>
    <row r="82" spans="2:3">
      <c r="B82" s="255" t="s">
        <v>1219</v>
      </c>
      <c r="C82" s="256" t="e">
        <f>#REF!*1000000</f>
        <v>#REF!</v>
      </c>
    </row>
    <row r="83" spans="2:3">
      <c r="B83" s="255" t="s">
        <v>1220</v>
      </c>
      <c r="C83" s="256" t="e">
        <f>#REF!*1000000</f>
        <v>#REF!</v>
      </c>
    </row>
    <row r="84" spans="2:3">
      <c r="B84" s="255" t="s">
        <v>1221</v>
      </c>
      <c r="C84" s="256" t="e">
        <f>#REF!*'[1]QT von DT+MT'!C78</f>
        <v>#REF!</v>
      </c>
    </row>
    <row r="85" spans="2:3">
      <c r="B85" s="255" t="s">
        <v>965</v>
      </c>
      <c r="C85" s="256" t="e">
        <f>SUM(C79:C84)</f>
        <v>#REF!</v>
      </c>
    </row>
    <row r="86" spans="2:3">
      <c r="B86" s="255" t="s">
        <v>1222</v>
      </c>
      <c r="C86" s="256">
        <f>'[1]QT LCT'!G8</f>
        <v>0</v>
      </c>
    </row>
    <row r="87" spans="2:3">
      <c r="B87" s="255" t="s">
        <v>1223</v>
      </c>
      <c r="C87" s="256">
        <f>663160600+160000000</f>
        <v>823160600</v>
      </c>
    </row>
    <row r="88" spans="2:3">
      <c r="C88" s="256" t="e">
        <f>C85+C86+C87</f>
        <v>#REF!</v>
      </c>
    </row>
    <row r="89" spans="2:3">
      <c r="C89" s="256" t="e">
        <f>#REF!*1000000</f>
        <v>#REF!</v>
      </c>
    </row>
    <row r="90" spans="2:3">
      <c r="C90" s="256" t="e">
        <f>C88-C89</f>
        <v>#REF!</v>
      </c>
    </row>
  </sheetData>
  <mergeCells count="1">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67"/>
  <sheetViews>
    <sheetView zoomScale="85" zoomScaleNormal="85" workbookViewId="0">
      <pane xSplit="2" ySplit="8" topLeftCell="C45" activePane="bottomRight" state="frozen"/>
      <selection pane="topRight" activeCell="C1" sqref="C1"/>
      <selection pane="bottomLeft" activeCell="A9" sqref="A9"/>
      <selection pane="bottomRight" activeCell="H73" sqref="H73"/>
    </sheetView>
  </sheetViews>
  <sheetFormatPr defaultRowHeight="15.75"/>
  <cols>
    <col min="1" max="1" width="6.625" style="524" customWidth="1"/>
    <col min="2" max="2" width="32.125" style="511" customWidth="1"/>
    <col min="3" max="3" width="14.625" style="595" customWidth="1"/>
    <col min="4" max="4" width="17.125" style="752" customWidth="1"/>
    <col min="5" max="5" width="16.25" style="509" customWidth="1"/>
    <col min="6" max="6" width="10" style="337" customWidth="1"/>
    <col min="7" max="16384" width="9" style="335"/>
  </cols>
  <sheetData>
    <row r="1" spans="1:6">
      <c r="F1" s="336" t="s">
        <v>0</v>
      </c>
    </row>
    <row r="2" spans="1:6" ht="28.5" customHeight="1">
      <c r="A2" s="1047" t="s">
        <v>2398</v>
      </c>
      <c r="B2" s="1047"/>
      <c r="C2" s="1047"/>
      <c r="D2" s="1047"/>
      <c r="E2" s="1047"/>
      <c r="F2" s="1047"/>
    </row>
    <row r="3" spans="1:6" ht="24" customHeight="1">
      <c r="A3" s="1050" t="s">
        <v>2397</v>
      </c>
      <c r="B3" s="1051"/>
      <c r="C3" s="1051"/>
      <c r="D3" s="1051"/>
      <c r="E3" s="1051"/>
      <c r="F3" s="1051"/>
    </row>
    <row r="4" spans="1:6" ht="23.25" hidden="1" customHeight="1">
      <c r="A4" s="1048" t="s">
        <v>1635</v>
      </c>
      <c r="B4" s="1049"/>
      <c r="C4" s="1049"/>
      <c r="D4" s="1049"/>
      <c r="E4" s="1049"/>
      <c r="F4" s="1049"/>
    </row>
    <row r="5" spans="1:6">
      <c r="F5" s="338" t="s">
        <v>2</v>
      </c>
    </row>
    <row r="6" spans="1:6" ht="19.5" customHeight="1">
      <c r="A6" s="1043" t="s">
        <v>3</v>
      </c>
      <c r="B6" s="1043" t="s">
        <v>233</v>
      </c>
      <c r="C6" s="1044" t="s">
        <v>4</v>
      </c>
      <c r="D6" s="1045" t="s">
        <v>5</v>
      </c>
      <c r="E6" s="1046" t="s">
        <v>6</v>
      </c>
      <c r="F6" s="1046"/>
    </row>
    <row r="7" spans="1:6" ht="25.5">
      <c r="A7" s="1043"/>
      <c r="B7" s="1043"/>
      <c r="C7" s="1044"/>
      <c r="D7" s="1045"/>
      <c r="E7" s="596" t="s">
        <v>7</v>
      </c>
      <c r="F7" s="339" t="s">
        <v>8</v>
      </c>
    </row>
    <row r="8" spans="1:6" s="554" customFormat="1" ht="15">
      <c r="A8" s="555" t="s">
        <v>9</v>
      </c>
      <c r="B8" s="555" t="s">
        <v>10</v>
      </c>
      <c r="C8" s="556">
        <v>1</v>
      </c>
      <c r="D8" s="556">
        <v>2</v>
      </c>
      <c r="E8" s="585" t="s">
        <v>11</v>
      </c>
      <c r="F8" s="557" t="s">
        <v>12</v>
      </c>
    </row>
    <row r="9" spans="1:6" s="502" customFormat="1" ht="24.75" customHeight="1">
      <c r="A9" s="748" t="s">
        <v>9</v>
      </c>
      <c r="B9" s="516" t="s">
        <v>13</v>
      </c>
      <c r="C9" s="586">
        <v>9447499</v>
      </c>
      <c r="D9" s="586">
        <v>14427653.201870998</v>
      </c>
      <c r="E9" s="589">
        <v>4980154.2018709984</v>
      </c>
      <c r="F9" s="517">
        <v>1.5271399554391061</v>
      </c>
    </row>
    <row r="10" spans="1:6" s="502" customFormat="1" ht="35.25" customHeight="1">
      <c r="A10" s="748" t="s">
        <v>14</v>
      </c>
      <c r="B10" s="516" t="s">
        <v>15</v>
      </c>
      <c r="C10" s="586">
        <v>3139000</v>
      </c>
      <c r="D10" s="586">
        <v>2594303.3116660002</v>
      </c>
      <c r="E10" s="589">
        <v>-544696.68833399983</v>
      </c>
      <c r="F10" s="517">
        <v>0.82647445417840082</v>
      </c>
    </row>
    <row r="11" spans="1:6" ht="26.25" customHeight="1">
      <c r="A11" s="518" t="s">
        <v>16</v>
      </c>
      <c r="B11" s="503" t="s">
        <v>17</v>
      </c>
      <c r="C11" s="587">
        <v>1351500</v>
      </c>
      <c r="D11" s="587">
        <v>1002410.4721899998</v>
      </c>
      <c r="E11" s="590">
        <v>-349089.52781000023</v>
      </c>
      <c r="F11" s="519">
        <v>0.74170216218275975</v>
      </c>
    </row>
    <row r="12" spans="1:6" ht="36.75" customHeight="1">
      <c r="A12" s="518" t="s">
        <v>16</v>
      </c>
      <c r="B12" s="503" t="s">
        <v>18</v>
      </c>
      <c r="C12" s="587">
        <v>1787500</v>
      </c>
      <c r="D12" s="590">
        <v>1591892.8394760003</v>
      </c>
      <c r="E12" s="590">
        <v>-195607.16052399972</v>
      </c>
      <c r="F12" s="519">
        <v>0.8905694206858743</v>
      </c>
    </row>
    <row r="13" spans="1:6" s="502" customFormat="1" ht="41.25" customHeight="1">
      <c r="A13" s="748" t="s">
        <v>19</v>
      </c>
      <c r="B13" s="516" t="s">
        <v>20</v>
      </c>
      <c r="C13" s="586">
        <v>6212499</v>
      </c>
      <c r="D13" s="586">
        <v>6643146.2309619999</v>
      </c>
      <c r="E13" s="589">
        <v>430647.23096199986</v>
      </c>
      <c r="F13" s="517">
        <v>1.0693194849547663</v>
      </c>
    </row>
    <row r="14" spans="1:6" ht="24.75" customHeight="1">
      <c r="A14" s="518">
        <v>1</v>
      </c>
      <c r="B14" s="503" t="s">
        <v>21</v>
      </c>
      <c r="C14" s="587">
        <v>3966551</v>
      </c>
      <c r="D14" s="587">
        <v>3966551</v>
      </c>
      <c r="E14" s="590">
        <v>0</v>
      </c>
      <c r="F14" s="519">
        <v>1</v>
      </c>
    </row>
    <row r="15" spans="1:6" ht="24.75" customHeight="1">
      <c r="A15" s="518">
        <v>2</v>
      </c>
      <c r="B15" s="503" t="s">
        <v>22</v>
      </c>
      <c r="C15" s="587">
        <v>2245948</v>
      </c>
      <c r="D15" s="590">
        <v>2676595.2309619999</v>
      </c>
      <c r="E15" s="590">
        <v>430647.23096199986</v>
      </c>
      <c r="F15" s="519">
        <v>1.1917440790980023</v>
      </c>
    </row>
    <row r="16" spans="1:6" ht="24.75" hidden="1" customHeight="1">
      <c r="A16" s="518">
        <v>3</v>
      </c>
      <c r="B16" s="503" t="s">
        <v>1696</v>
      </c>
      <c r="C16" s="587"/>
      <c r="D16" s="590"/>
      <c r="E16" s="590"/>
      <c r="F16" s="519" t="e">
        <v>#DIV/0!</v>
      </c>
    </row>
    <row r="17" spans="1:6" s="502" customFormat="1" ht="36" hidden="1" customHeight="1">
      <c r="A17" s="748" t="s">
        <v>23</v>
      </c>
      <c r="B17" s="516" t="s">
        <v>1959</v>
      </c>
      <c r="C17" s="586"/>
      <c r="D17" s="586"/>
      <c r="E17" s="589"/>
      <c r="F17" s="519" t="e">
        <v>#DIV/0!</v>
      </c>
    </row>
    <row r="18" spans="1:6" s="502" customFormat="1" ht="25.5" customHeight="1">
      <c r="A18" s="748" t="s">
        <v>23</v>
      </c>
      <c r="B18" s="516" t="s">
        <v>25</v>
      </c>
      <c r="C18" s="586"/>
      <c r="D18" s="586">
        <v>355976.85295799997</v>
      </c>
      <c r="E18" s="589">
        <v>355976.85295799997</v>
      </c>
      <c r="F18" s="519"/>
    </row>
    <row r="19" spans="1:6" s="502" customFormat="1" ht="31.5">
      <c r="A19" s="748" t="s">
        <v>24</v>
      </c>
      <c r="B19" s="516" t="s">
        <v>27</v>
      </c>
      <c r="C19" s="586">
        <v>96000</v>
      </c>
      <c r="D19" s="586">
        <v>4794232.2558869999</v>
      </c>
      <c r="E19" s="589">
        <v>4698232.2558869999</v>
      </c>
      <c r="F19" s="519">
        <v>49.939919332156251</v>
      </c>
    </row>
    <row r="20" spans="1:6" s="502" customFormat="1" ht="42" customHeight="1">
      <c r="A20" s="748" t="s">
        <v>26</v>
      </c>
      <c r="B20" s="516" t="s">
        <v>232</v>
      </c>
      <c r="C20" s="586"/>
      <c r="D20" s="586">
        <v>39994.550398000007</v>
      </c>
      <c r="E20" s="589">
        <v>39994.550398000007</v>
      </c>
      <c r="F20" s="519"/>
    </row>
    <row r="21" spans="1:6" s="502" customFormat="1" ht="27" customHeight="1">
      <c r="A21" s="748" t="s">
        <v>10</v>
      </c>
      <c r="B21" s="516" t="s">
        <v>28</v>
      </c>
      <c r="C21" s="589">
        <v>9520199</v>
      </c>
      <c r="D21" s="589">
        <v>14378594.285921</v>
      </c>
      <c r="E21" s="589">
        <v>4858395.2859210009</v>
      </c>
      <c r="F21" s="517">
        <v>1.5103249717701279</v>
      </c>
    </row>
    <row r="22" spans="1:6" ht="27" customHeight="1">
      <c r="A22" s="748" t="s">
        <v>14</v>
      </c>
      <c r="B22" s="516" t="s">
        <v>29</v>
      </c>
      <c r="C22" s="589">
        <v>7105288</v>
      </c>
      <c r="D22" s="586">
        <v>7680262.6973900003</v>
      </c>
      <c r="E22" s="589">
        <v>574974.69739000034</v>
      </c>
      <c r="F22" s="517">
        <v>1.0809220818902767</v>
      </c>
    </row>
    <row r="23" spans="1:6" ht="25.5" customHeight="1">
      <c r="A23" s="518">
        <v>1</v>
      </c>
      <c r="B23" s="503" t="s">
        <v>30</v>
      </c>
      <c r="C23" s="590">
        <v>1394012</v>
      </c>
      <c r="D23" s="587">
        <v>1690050.6557900002</v>
      </c>
      <c r="E23" s="590">
        <v>296038.65579000022</v>
      </c>
      <c r="F23" s="519">
        <v>1.2123644959942959</v>
      </c>
    </row>
    <row r="24" spans="1:6" ht="25.5" customHeight="1">
      <c r="A24" s="518">
        <v>2</v>
      </c>
      <c r="B24" s="503" t="s">
        <v>31</v>
      </c>
      <c r="C24" s="590">
        <v>5443502</v>
      </c>
      <c r="D24" s="587">
        <v>5984583.8986</v>
      </c>
      <c r="E24" s="590">
        <v>541081.89859999996</v>
      </c>
      <c r="F24" s="519">
        <v>1.0993995958116669</v>
      </c>
    </row>
    <row r="25" spans="1:6" ht="35.25" customHeight="1">
      <c r="A25" s="518">
        <v>3</v>
      </c>
      <c r="B25" s="503" t="s">
        <v>32</v>
      </c>
      <c r="C25" s="590">
        <v>5176</v>
      </c>
      <c r="D25" s="587">
        <v>4628.143</v>
      </c>
      <c r="E25" s="590">
        <v>-547.85699999999997</v>
      </c>
      <c r="F25" s="519">
        <v>0.89415436630602785</v>
      </c>
    </row>
    <row r="26" spans="1:6" ht="27" customHeight="1">
      <c r="A26" s="518">
        <v>4</v>
      </c>
      <c r="B26" s="503" t="s">
        <v>33</v>
      </c>
      <c r="C26" s="590">
        <v>1000</v>
      </c>
      <c r="D26" s="587">
        <v>1000</v>
      </c>
      <c r="E26" s="590">
        <v>0</v>
      </c>
      <c r="F26" s="519">
        <v>1</v>
      </c>
    </row>
    <row r="27" spans="1:6" ht="27" customHeight="1">
      <c r="A27" s="518">
        <v>5</v>
      </c>
      <c r="B27" s="503" t="s">
        <v>34</v>
      </c>
      <c r="C27" s="590">
        <v>163111</v>
      </c>
      <c r="D27" s="587"/>
      <c r="E27" s="590">
        <v>-163111</v>
      </c>
      <c r="F27" s="519">
        <v>0</v>
      </c>
    </row>
    <row r="28" spans="1:6" ht="42" customHeight="1">
      <c r="A28" s="518">
        <v>6</v>
      </c>
      <c r="B28" s="503" t="s">
        <v>35</v>
      </c>
      <c r="C28" s="590">
        <v>98487</v>
      </c>
      <c r="D28" s="587"/>
      <c r="E28" s="590">
        <v>-98487</v>
      </c>
      <c r="F28" s="519">
        <v>0</v>
      </c>
    </row>
    <row r="29" spans="1:6" ht="27" customHeight="1">
      <c r="A29" s="748" t="s">
        <v>19</v>
      </c>
      <c r="B29" s="516" t="s">
        <v>36</v>
      </c>
      <c r="C29" s="589">
        <v>2245948</v>
      </c>
      <c r="D29" s="589">
        <v>2351561.2179339998</v>
      </c>
      <c r="E29" s="589">
        <v>105613.21793399984</v>
      </c>
      <c r="F29" s="517">
        <v>1.0470238927766804</v>
      </c>
    </row>
    <row r="30" spans="1:6" ht="37.5" customHeight="1">
      <c r="A30" s="518">
        <v>1</v>
      </c>
      <c r="B30" s="503" t="s">
        <v>37</v>
      </c>
      <c r="C30" s="590">
        <v>749151</v>
      </c>
      <c r="D30" s="587">
        <v>778993.66618199996</v>
      </c>
      <c r="E30" s="590">
        <v>29842.666181999957</v>
      </c>
      <c r="F30" s="519">
        <v>1.0398353151527528</v>
      </c>
    </row>
    <row r="31" spans="1:6" ht="35.25" customHeight="1">
      <c r="A31" s="518">
        <v>2</v>
      </c>
      <c r="B31" s="503" t="s">
        <v>1947</v>
      </c>
      <c r="C31" s="590">
        <v>1392616</v>
      </c>
      <c r="D31" s="590">
        <v>1474522.94</v>
      </c>
      <c r="E31" s="590">
        <v>81906.939999999944</v>
      </c>
      <c r="F31" s="519">
        <v>1.0588151651280755</v>
      </c>
    </row>
    <row r="32" spans="1:6" ht="59.25" customHeight="1">
      <c r="A32" s="518">
        <v>3</v>
      </c>
      <c r="B32" s="503" t="s">
        <v>1948</v>
      </c>
      <c r="C32" s="590">
        <v>104181</v>
      </c>
      <c r="D32" s="590">
        <v>98044.611751999997</v>
      </c>
      <c r="E32" s="590"/>
      <c r="F32" s="519">
        <v>0.94109877762739846</v>
      </c>
    </row>
    <row r="33" spans="1:6" ht="30" customHeight="1">
      <c r="A33" s="748" t="s">
        <v>23</v>
      </c>
      <c r="B33" s="516" t="s">
        <v>38</v>
      </c>
      <c r="C33" s="589">
        <v>0</v>
      </c>
      <c r="D33" s="586">
        <v>4005003.590388</v>
      </c>
      <c r="E33" s="589">
        <v>4005003.590388</v>
      </c>
      <c r="F33" s="519"/>
    </row>
    <row r="34" spans="1:6" ht="45" customHeight="1">
      <c r="A34" s="748" t="s">
        <v>24</v>
      </c>
      <c r="B34" s="516" t="s">
        <v>254</v>
      </c>
      <c r="C34" s="589">
        <v>168963</v>
      </c>
      <c r="D34" s="586"/>
      <c r="E34" s="589">
        <v>-168963</v>
      </c>
      <c r="F34" s="519"/>
    </row>
    <row r="35" spans="1:6" ht="24.75" hidden="1" customHeight="1">
      <c r="A35" s="518" t="s">
        <v>26</v>
      </c>
      <c r="B35" s="503" t="s">
        <v>1144</v>
      </c>
      <c r="C35" s="590"/>
      <c r="D35" s="587"/>
      <c r="E35" s="590">
        <v>0</v>
      </c>
      <c r="F35" s="520"/>
    </row>
    <row r="36" spans="1:6" ht="25.5" hidden="1" customHeight="1">
      <c r="A36" s="518" t="s">
        <v>128</v>
      </c>
      <c r="B36" s="503" t="s">
        <v>969</v>
      </c>
      <c r="C36" s="590"/>
      <c r="D36" s="587" t="e">
        <v>#REF!</v>
      </c>
      <c r="E36" s="590" t="e">
        <v>#REF!</v>
      </c>
      <c r="F36" s="520"/>
    </row>
    <row r="37" spans="1:6" ht="30.75" customHeight="1">
      <c r="A37" s="748" t="s">
        <v>26</v>
      </c>
      <c r="B37" s="516" t="s">
        <v>1144</v>
      </c>
      <c r="C37" s="589"/>
      <c r="D37" s="586">
        <v>341766.78020899999</v>
      </c>
      <c r="E37" s="589">
        <v>341766.78020899999</v>
      </c>
      <c r="F37" s="520"/>
    </row>
    <row r="38" spans="1:6" ht="36" customHeight="1">
      <c r="A38" s="748" t="s">
        <v>39</v>
      </c>
      <c r="B38" s="516" t="s">
        <v>2179</v>
      </c>
      <c r="C38" s="589">
        <v>72700</v>
      </c>
      <c r="D38" s="578">
        <v>49058.910000002012</v>
      </c>
      <c r="E38" s="589">
        <v>-23641.089999997988</v>
      </c>
      <c r="F38" s="517">
        <v>0.67481306740030278</v>
      </c>
    </row>
    <row r="39" spans="1:6" s="340" customFormat="1" ht="20.25" hidden="1" customHeight="1">
      <c r="A39" s="514"/>
      <c r="B39" s="521" t="s">
        <v>255</v>
      </c>
      <c r="C39" s="597">
        <v>72700</v>
      </c>
      <c r="D39" s="1003"/>
      <c r="E39" s="597">
        <v>-72700</v>
      </c>
      <c r="F39" s="522"/>
    </row>
    <row r="40" spans="1:6" s="340" customFormat="1" ht="20.25" hidden="1" customHeight="1">
      <c r="A40" s="514"/>
      <c r="B40" s="521" t="s">
        <v>256</v>
      </c>
      <c r="C40" s="597"/>
      <c r="D40" s="1003"/>
      <c r="E40" s="597">
        <v>0</v>
      </c>
      <c r="F40" s="523"/>
    </row>
    <row r="41" spans="1:6" s="340" customFormat="1" ht="20.25" hidden="1" customHeight="1">
      <c r="A41" s="514"/>
      <c r="B41" s="521" t="s">
        <v>257</v>
      </c>
      <c r="C41" s="597"/>
      <c r="D41" s="1003">
        <v>49058.910000002012</v>
      </c>
      <c r="E41" s="597">
        <v>49058.910000002012</v>
      </c>
      <c r="F41" s="522"/>
    </row>
    <row r="42" spans="1:6" ht="41.25" customHeight="1">
      <c r="A42" s="748" t="s">
        <v>40</v>
      </c>
      <c r="B42" s="516" t="s">
        <v>41</v>
      </c>
      <c r="C42" s="589">
        <v>13400</v>
      </c>
      <c r="D42" s="589">
        <v>13907.298999999999</v>
      </c>
      <c r="E42" s="589">
        <v>507.29899999999907</v>
      </c>
      <c r="F42" s="517">
        <v>1.0378581343283582</v>
      </c>
    </row>
    <row r="43" spans="1:6" ht="24.75" customHeight="1">
      <c r="A43" s="518" t="s">
        <v>14</v>
      </c>
      <c r="B43" s="503" t="s">
        <v>42</v>
      </c>
      <c r="C43" s="590">
        <v>13400</v>
      </c>
      <c r="D43" s="587">
        <v>13907.298999999999</v>
      </c>
      <c r="E43" s="590">
        <v>507.29899999999907</v>
      </c>
      <c r="F43" s="519">
        <v>1.0378581343283582</v>
      </c>
    </row>
    <row r="44" spans="1:6" ht="50.25" customHeight="1">
      <c r="A44" s="518" t="s">
        <v>19</v>
      </c>
      <c r="B44" s="503" t="s">
        <v>43</v>
      </c>
      <c r="C44" s="590"/>
      <c r="D44" s="587">
        <v>0</v>
      </c>
      <c r="E44" s="590">
        <v>0</v>
      </c>
      <c r="F44" s="519"/>
    </row>
    <row r="45" spans="1:6" ht="26.25" customHeight="1">
      <c r="A45" s="748" t="s">
        <v>44</v>
      </c>
      <c r="B45" s="516" t="s">
        <v>45</v>
      </c>
      <c r="C45" s="589">
        <v>86100</v>
      </c>
      <c r="D45" s="589">
        <v>66894.733024000001</v>
      </c>
      <c r="E45" s="589">
        <v>-19205.266975999999</v>
      </c>
      <c r="F45" s="517">
        <v>0.77694231154471549</v>
      </c>
    </row>
    <row r="46" spans="1:6" ht="26.25" customHeight="1">
      <c r="A46" s="518" t="s">
        <v>14</v>
      </c>
      <c r="B46" s="503" t="s">
        <v>46</v>
      </c>
      <c r="C46" s="590">
        <v>72700</v>
      </c>
      <c r="D46" s="587">
        <v>52987.434024000002</v>
      </c>
      <c r="E46" s="590">
        <v>-19712.565975999998</v>
      </c>
      <c r="F46" s="519">
        <v>0.72885053678129297</v>
      </c>
    </row>
    <row r="47" spans="1:6" ht="26.25" customHeight="1">
      <c r="A47" s="518" t="s">
        <v>19</v>
      </c>
      <c r="B47" s="503" t="s">
        <v>47</v>
      </c>
      <c r="C47" s="590">
        <v>13400</v>
      </c>
      <c r="D47" s="587">
        <v>13907.298999999999</v>
      </c>
      <c r="E47" s="590">
        <v>507.29899999999907</v>
      </c>
      <c r="F47" s="519">
        <v>1.0378581343283582</v>
      </c>
    </row>
    <row r="48" spans="1:6" ht="38.25" customHeight="1">
      <c r="A48" s="748" t="s">
        <v>48</v>
      </c>
      <c r="B48" s="516" t="s">
        <v>49</v>
      </c>
      <c r="C48" s="589">
        <v>0</v>
      </c>
      <c r="D48" s="586">
        <v>186635.42021280003</v>
      </c>
      <c r="E48" s="589">
        <v>186635.42021280003</v>
      </c>
      <c r="F48" s="519"/>
    </row>
    <row r="49" spans="1:6">
      <c r="A49" s="515"/>
      <c r="E49" s="574"/>
      <c r="F49" s="341"/>
    </row>
    <row r="50" spans="1:6" ht="19.5" hidden="1" customHeight="1"/>
    <row r="51" spans="1:6" hidden="1">
      <c r="D51" s="823">
        <v>14378594.285921</v>
      </c>
    </row>
    <row r="52" spans="1:6" hidden="1">
      <c r="B52" s="750">
        <v>17028711695565</v>
      </c>
      <c r="D52" s="824">
        <v>17056563070565</v>
      </c>
      <c r="E52" s="509">
        <v>16903149073830</v>
      </c>
    </row>
    <row r="53" spans="1:6" hidden="1">
      <c r="B53" s="750">
        <v>12719687808464</v>
      </c>
      <c r="D53" s="825">
        <v>8589121596341</v>
      </c>
      <c r="E53" s="509" t="s">
        <v>2386</v>
      </c>
    </row>
    <row r="54" spans="1:6" hidden="1">
      <c r="B54" s="750">
        <v>14378594285921</v>
      </c>
      <c r="D54" s="825">
        <v>4611429437848</v>
      </c>
      <c r="E54" s="509" t="s">
        <v>2387</v>
      </c>
    </row>
    <row r="55" spans="1:6" hidden="1">
      <c r="B55" s="750">
        <v>-1658906477457</v>
      </c>
      <c r="D55" s="823">
        <v>125562621735</v>
      </c>
      <c r="E55" s="509" t="s">
        <v>2388</v>
      </c>
    </row>
    <row r="56" spans="1:6" hidden="1">
      <c r="D56" s="825">
        <v>3702598039641</v>
      </c>
      <c r="E56" s="509" t="s">
        <v>2389</v>
      </c>
    </row>
    <row r="57" spans="1:6" hidden="1">
      <c r="D57" s="823">
        <v>4736995762181.0391</v>
      </c>
    </row>
    <row r="58" spans="1:6" hidden="1">
      <c r="D58" s="608">
        <v>27851375000</v>
      </c>
    </row>
    <row r="59" spans="1:6" hidden="1"/>
    <row r="60" spans="1:6" hidden="1"/>
    <row r="61" spans="1:6" hidden="1"/>
    <row r="62" spans="1:6" hidden="1"/>
    <row r="63" spans="1:6" hidden="1"/>
    <row r="64" spans="1:6" hidden="1"/>
    <row r="65" hidden="1"/>
    <row r="66" hidden="1"/>
    <row r="67" hidden="1"/>
  </sheetData>
  <mergeCells count="8">
    <mergeCell ref="A6:A7"/>
    <mergeCell ref="B6:B7"/>
    <mergeCell ref="C6:C7"/>
    <mergeCell ref="D6:D7"/>
    <mergeCell ref="E6:F6"/>
    <mergeCell ref="A2:F2"/>
    <mergeCell ref="A4:F4"/>
    <mergeCell ref="A3:F3"/>
  </mergeCells>
  <pageMargins left="0.35" right="0.23622047244094499" top="0.74803149606299202" bottom="0.74803149606299202" header="0.31496062992126" footer="0.31496062992126"/>
  <pageSetup paperSize="9"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5"/>
  <sheetViews>
    <sheetView topLeftCell="A49" workbookViewId="0">
      <selection activeCell="G19" sqref="G19"/>
    </sheetView>
  </sheetViews>
  <sheetFormatPr defaultRowHeight="12.75"/>
  <cols>
    <col min="1" max="1" width="6.375" style="414" customWidth="1"/>
    <col min="2" max="2" width="30" style="414" customWidth="1"/>
    <col min="3" max="3" width="11.25" style="414" customWidth="1"/>
    <col min="4" max="20" width="8.625" style="414" customWidth="1"/>
    <col min="21" max="16384" width="9" style="414"/>
  </cols>
  <sheetData>
    <row r="1" spans="1:20">
      <c r="R1" s="2" t="s">
        <v>164</v>
      </c>
    </row>
    <row r="2" spans="1:20">
      <c r="A2" s="1200" t="s">
        <v>1365</v>
      </c>
      <c r="B2" s="1200"/>
      <c r="C2" s="1200"/>
      <c r="D2" s="1200"/>
      <c r="E2" s="1200"/>
      <c r="F2" s="1200"/>
      <c r="G2" s="1200"/>
      <c r="H2" s="1200"/>
      <c r="I2" s="1200"/>
      <c r="J2" s="1200"/>
      <c r="K2" s="1200"/>
      <c r="L2" s="1200"/>
      <c r="M2" s="1200"/>
      <c r="N2" s="1200"/>
      <c r="O2" s="1200"/>
      <c r="P2" s="1200"/>
      <c r="Q2" s="1200"/>
      <c r="R2" s="1200"/>
      <c r="S2" s="1200"/>
      <c r="T2" s="1200"/>
    </row>
    <row r="3" spans="1:20">
      <c r="A3" s="1200" t="s">
        <v>1</v>
      </c>
      <c r="B3" s="1200"/>
      <c r="C3" s="1200"/>
      <c r="D3" s="1200"/>
      <c r="E3" s="1200"/>
      <c r="F3" s="1200"/>
      <c r="G3" s="1200"/>
      <c r="H3" s="1200"/>
      <c r="I3" s="1200"/>
      <c r="J3" s="1200"/>
      <c r="K3" s="1200"/>
      <c r="L3" s="1200"/>
      <c r="M3" s="1200"/>
      <c r="N3" s="1200"/>
      <c r="O3" s="1200"/>
      <c r="P3" s="1200"/>
      <c r="Q3" s="1200"/>
      <c r="R3" s="1200"/>
      <c r="S3" s="1200"/>
      <c r="T3" s="1200"/>
    </row>
    <row r="4" spans="1:20">
      <c r="D4" s="415">
        <v>1000000</v>
      </c>
      <c r="E4" s="415"/>
      <c r="R4" s="3" t="s">
        <v>2</v>
      </c>
    </row>
    <row r="5" spans="1:20">
      <c r="A5" s="1201" t="s">
        <v>3</v>
      </c>
      <c r="B5" s="1201" t="s">
        <v>152</v>
      </c>
      <c r="C5" s="1201" t="s">
        <v>4</v>
      </c>
      <c r="D5" s="1201" t="s">
        <v>5</v>
      </c>
      <c r="E5" s="1201" t="s">
        <v>123</v>
      </c>
      <c r="F5" s="1201" t="s">
        <v>127</v>
      </c>
      <c r="G5" s="1201" t="s">
        <v>131</v>
      </c>
      <c r="H5" s="1201" t="s">
        <v>132</v>
      </c>
      <c r="I5" s="1201" t="s">
        <v>133</v>
      </c>
      <c r="J5" s="1201" t="s">
        <v>134</v>
      </c>
      <c r="K5" s="1201" t="s">
        <v>135</v>
      </c>
      <c r="L5" s="1201" t="s">
        <v>136</v>
      </c>
      <c r="M5" s="1201" t="s">
        <v>137</v>
      </c>
      <c r="N5" s="1201" t="s">
        <v>138</v>
      </c>
      <c r="O5" s="1201" t="s">
        <v>158</v>
      </c>
      <c r="P5" s="1201"/>
      <c r="Q5" s="1201" t="s">
        <v>139</v>
      </c>
      <c r="R5" s="1201" t="s">
        <v>140</v>
      </c>
      <c r="S5" s="1201" t="s">
        <v>141</v>
      </c>
      <c r="T5" s="1201" t="s">
        <v>52</v>
      </c>
    </row>
    <row r="6" spans="1:20" ht="76.5">
      <c r="A6" s="1201"/>
      <c r="B6" s="1201"/>
      <c r="C6" s="1201"/>
      <c r="D6" s="1201"/>
      <c r="E6" s="1201"/>
      <c r="F6" s="1201"/>
      <c r="G6" s="1201"/>
      <c r="H6" s="1201"/>
      <c r="I6" s="1201"/>
      <c r="J6" s="1201"/>
      <c r="K6" s="1201"/>
      <c r="L6" s="1201"/>
      <c r="M6" s="1201"/>
      <c r="N6" s="1201"/>
      <c r="O6" s="412" t="s">
        <v>159</v>
      </c>
      <c r="P6" s="412" t="s">
        <v>160</v>
      </c>
      <c r="Q6" s="1201"/>
      <c r="R6" s="1201"/>
      <c r="S6" s="1201"/>
      <c r="T6" s="1201"/>
    </row>
    <row r="7" spans="1:20">
      <c r="A7" s="411" t="s">
        <v>9</v>
      </c>
      <c r="B7" s="411" t="s">
        <v>10</v>
      </c>
      <c r="C7" s="10">
        <v>1</v>
      </c>
      <c r="D7" s="10">
        <v>2</v>
      </c>
      <c r="E7" s="411">
        <v>3</v>
      </c>
      <c r="F7" s="411">
        <v>4</v>
      </c>
      <c r="G7" s="411">
        <v>5</v>
      </c>
      <c r="H7" s="411">
        <v>6</v>
      </c>
      <c r="I7" s="411">
        <v>7</v>
      </c>
      <c r="J7" s="411">
        <v>8</v>
      </c>
      <c r="K7" s="411">
        <v>9</v>
      </c>
      <c r="L7" s="411">
        <v>10</v>
      </c>
      <c r="M7" s="411">
        <v>11</v>
      </c>
      <c r="N7" s="411">
        <v>12</v>
      </c>
      <c r="O7" s="411">
        <v>13</v>
      </c>
      <c r="P7" s="411">
        <v>14</v>
      </c>
      <c r="Q7" s="411">
        <v>15</v>
      </c>
      <c r="R7" s="411">
        <v>16</v>
      </c>
      <c r="S7" s="411">
        <v>17</v>
      </c>
      <c r="T7" s="411" t="s">
        <v>165</v>
      </c>
    </row>
    <row r="8" spans="1:20">
      <c r="A8" s="411"/>
      <c r="B8" s="4" t="s">
        <v>154</v>
      </c>
      <c r="C8" s="346"/>
      <c r="D8" s="346"/>
      <c r="E8" s="467"/>
      <c r="F8" s="467"/>
      <c r="G8" s="467"/>
      <c r="H8" s="467"/>
      <c r="I8" s="467"/>
      <c r="J8" s="467"/>
      <c r="K8" s="467"/>
      <c r="L8" s="467"/>
      <c r="M8" s="467"/>
      <c r="N8" s="467"/>
      <c r="O8" s="467"/>
      <c r="P8" s="467"/>
      <c r="Q8" s="467"/>
      <c r="R8" s="467"/>
      <c r="S8" s="467"/>
      <c r="T8" s="467"/>
    </row>
    <row r="9" spans="1:20">
      <c r="A9" s="416" t="s">
        <v>9</v>
      </c>
      <c r="B9" s="417" t="s">
        <v>31</v>
      </c>
      <c r="C9" s="468">
        <f t="shared" ref="C9:T9" si="0">C10+C13+C18+C185+C196+C274+C291+C294+C297+C301+C314+C399+C440+C442</f>
        <v>1061404.586623</v>
      </c>
      <c r="D9" s="468">
        <f t="shared" si="0"/>
        <v>994709.14506699983</v>
      </c>
      <c r="E9" s="468">
        <f t="shared" si="0"/>
        <v>335688.5477479999</v>
      </c>
      <c r="F9" s="468">
        <f t="shared" si="0"/>
        <v>16595.839</v>
      </c>
      <c r="G9" s="468">
        <f t="shared" si="0"/>
        <v>0</v>
      </c>
      <c r="H9" s="468">
        <f t="shared" si="0"/>
        <v>0</v>
      </c>
      <c r="I9" s="468">
        <f t="shared" si="0"/>
        <v>219145.98280300002</v>
      </c>
      <c r="J9" s="468">
        <f t="shared" si="0"/>
        <v>26803.004499999999</v>
      </c>
      <c r="K9" s="468">
        <f t="shared" si="0"/>
        <v>31489.7</v>
      </c>
      <c r="L9" s="468">
        <f t="shared" si="0"/>
        <v>2742</v>
      </c>
      <c r="M9" s="468">
        <f t="shared" si="0"/>
        <v>0</v>
      </c>
      <c r="N9" s="468">
        <f t="shared" si="0"/>
        <v>13227.109</v>
      </c>
      <c r="O9" s="468">
        <f t="shared" si="0"/>
        <v>0</v>
      </c>
      <c r="P9" s="468">
        <f t="shared" si="0"/>
        <v>0</v>
      </c>
      <c r="Q9" s="468">
        <f t="shared" si="0"/>
        <v>329326.41765800002</v>
      </c>
      <c r="R9" s="468">
        <f t="shared" si="0"/>
        <v>19690.544358000003</v>
      </c>
      <c r="S9" s="468">
        <f t="shared" si="0"/>
        <v>0</v>
      </c>
      <c r="T9" s="468">
        <f t="shared" si="0"/>
        <v>0</v>
      </c>
    </row>
    <row r="10" spans="1:20" s="421" customFormat="1">
      <c r="A10" s="418" t="s">
        <v>14</v>
      </c>
      <c r="B10" s="419" t="s">
        <v>1366</v>
      </c>
      <c r="C10" s="475">
        <f>SUM(C11:C12)</f>
        <v>2631.5079999999998</v>
      </c>
      <c r="D10" s="475">
        <f>SUM(D11:D12)</f>
        <v>2205.5079999999998</v>
      </c>
      <c r="E10" s="420">
        <f t="shared" ref="E10:T10" si="1">SUM(E11:E12)</f>
        <v>0</v>
      </c>
      <c r="F10" s="420">
        <f t="shared" si="1"/>
        <v>0</v>
      </c>
      <c r="G10" s="420">
        <f t="shared" si="1"/>
        <v>0</v>
      </c>
      <c r="H10" s="420">
        <f t="shared" si="1"/>
        <v>0</v>
      </c>
      <c r="I10" s="420">
        <f t="shared" si="1"/>
        <v>0</v>
      </c>
      <c r="J10" s="420">
        <f t="shared" si="1"/>
        <v>2205.5079999999998</v>
      </c>
      <c r="K10" s="420">
        <f t="shared" si="1"/>
        <v>0</v>
      </c>
      <c r="L10" s="420">
        <f t="shared" si="1"/>
        <v>0</v>
      </c>
      <c r="M10" s="420">
        <f t="shared" si="1"/>
        <v>0</v>
      </c>
      <c r="N10" s="420">
        <f t="shared" si="1"/>
        <v>0</v>
      </c>
      <c r="O10" s="420">
        <f t="shared" si="1"/>
        <v>0</v>
      </c>
      <c r="P10" s="420">
        <f t="shared" si="1"/>
        <v>0</v>
      </c>
      <c r="Q10" s="420">
        <f t="shared" si="1"/>
        <v>0</v>
      </c>
      <c r="R10" s="420">
        <f t="shared" si="1"/>
        <v>0</v>
      </c>
      <c r="S10" s="420">
        <f t="shared" si="1"/>
        <v>0</v>
      </c>
      <c r="T10" s="420">
        <f t="shared" si="1"/>
        <v>0</v>
      </c>
    </row>
    <row r="11" spans="1:20">
      <c r="A11" s="422"/>
      <c r="B11" s="423" t="s">
        <v>1367</v>
      </c>
      <c r="C11" s="476">
        <f>('[4]Bieu 57'!D10)/1000000</f>
        <v>2505.5079999999998</v>
      </c>
      <c r="D11" s="476">
        <f>('[4]Bieu 57'!I10)/1000000</f>
        <v>2205.5079999999998</v>
      </c>
      <c r="E11" s="449"/>
      <c r="F11" s="346"/>
      <c r="G11" s="346"/>
      <c r="H11" s="346"/>
      <c r="I11" s="346"/>
      <c r="J11" s="345">
        <f>D11</f>
        <v>2205.5079999999998</v>
      </c>
      <c r="K11" s="346"/>
      <c r="L11" s="346"/>
      <c r="M11" s="346"/>
      <c r="N11" s="346"/>
      <c r="O11" s="346"/>
      <c r="P11" s="346"/>
      <c r="Q11" s="346"/>
      <c r="R11" s="346"/>
      <c r="S11" s="346"/>
      <c r="T11" s="346"/>
    </row>
    <row r="12" spans="1:20">
      <c r="A12" s="422"/>
      <c r="B12" s="423" t="s">
        <v>1368</v>
      </c>
      <c r="C12" s="476">
        <f>('[4]Bieu 57'!D11)/1000000</f>
        <v>126</v>
      </c>
      <c r="D12" s="476">
        <f>'[4]Bieu 57'!I11</f>
        <v>0</v>
      </c>
      <c r="E12" s="449"/>
      <c r="F12" s="346"/>
      <c r="G12" s="346"/>
      <c r="H12" s="346"/>
      <c r="I12" s="346"/>
      <c r="J12" s="346"/>
      <c r="K12" s="346"/>
      <c r="L12" s="346"/>
      <c r="M12" s="346"/>
      <c r="N12" s="346"/>
      <c r="O12" s="346"/>
      <c r="P12" s="346"/>
      <c r="Q12" s="346"/>
      <c r="R12" s="346"/>
      <c r="S12" s="346"/>
      <c r="T12" s="346"/>
    </row>
    <row r="13" spans="1:20" s="421" customFormat="1">
      <c r="A13" s="418" t="s">
        <v>19</v>
      </c>
      <c r="B13" s="419" t="s">
        <v>1369</v>
      </c>
      <c r="C13" s="476">
        <f t="shared" ref="C13:T13" si="2">SUM(C14:C17)</f>
        <v>2455.3209999999999</v>
      </c>
      <c r="D13" s="476">
        <f t="shared" si="2"/>
        <v>2453.6210000000001</v>
      </c>
      <c r="E13" s="449">
        <f t="shared" si="2"/>
        <v>0</v>
      </c>
      <c r="F13" s="468">
        <f t="shared" si="2"/>
        <v>0</v>
      </c>
      <c r="G13" s="468">
        <f t="shared" si="2"/>
        <v>0</v>
      </c>
      <c r="H13" s="468">
        <f t="shared" si="2"/>
        <v>0</v>
      </c>
      <c r="I13" s="468">
        <f t="shared" si="2"/>
        <v>0</v>
      </c>
      <c r="J13" s="468">
        <f t="shared" si="2"/>
        <v>2453.6210000000001</v>
      </c>
      <c r="K13" s="468">
        <f t="shared" si="2"/>
        <v>0</v>
      </c>
      <c r="L13" s="468">
        <f t="shared" si="2"/>
        <v>0</v>
      </c>
      <c r="M13" s="468">
        <f t="shared" si="2"/>
        <v>0</v>
      </c>
      <c r="N13" s="468">
        <f t="shared" si="2"/>
        <v>0</v>
      </c>
      <c r="O13" s="468">
        <f t="shared" si="2"/>
        <v>0</v>
      </c>
      <c r="P13" s="468">
        <f t="shared" si="2"/>
        <v>0</v>
      </c>
      <c r="Q13" s="468">
        <f t="shared" si="2"/>
        <v>0</v>
      </c>
      <c r="R13" s="468">
        <f t="shared" si="2"/>
        <v>0</v>
      </c>
      <c r="S13" s="468">
        <f t="shared" si="2"/>
        <v>0</v>
      </c>
      <c r="T13" s="468">
        <f t="shared" si="2"/>
        <v>0</v>
      </c>
    </row>
    <row r="14" spans="1:20">
      <c r="A14" s="422">
        <v>1</v>
      </c>
      <c r="B14" s="424" t="s">
        <v>484</v>
      </c>
      <c r="C14" s="476">
        <f>('[4]Bieu 57'!D13)/1000000</f>
        <v>1342</v>
      </c>
      <c r="D14" s="476">
        <f>('[4]Bieu 57'!I13)/1000000</f>
        <v>1342</v>
      </c>
      <c r="E14" s="449"/>
      <c r="F14" s="467"/>
      <c r="G14" s="467"/>
      <c r="H14" s="467"/>
      <c r="I14" s="467"/>
      <c r="J14" s="470">
        <f>D14</f>
        <v>1342</v>
      </c>
      <c r="K14" s="467"/>
      <c r="L14" s="467"/>
      <c r="M14" s="467"/>
      <c r="N14" s="467"/>
      <c r="O14" s="467"/>
      <c r="P14" s="467"/>
      <c r="Q14" s="467"/>
      <c r="R14" s="467"/>
      <c r="S14" s="467"/>
      <c r="T14" s="467"/>
    </row>
    <row r="15" spans="1:20">
      <c r="A15" s="422">
        <v>2</v>
      </c>
      <c r="B15" s="425" t="s">
        <v>1370</v>
      </c>
      <c r="C15" s="476">
        <f>('[4]Bieu 57'!D14)/1000000</f>
        <v>433.32100000000003</v>
      </c>
      <c r="D15" s="476">
        <f>('[4]Bieu 57'!I14)/1000000</f>
        <v>431.62099999999998</v>
      </c>
      <c r="E15" s="346"/>
      <c r="F15" s="346"/>
      <c r="G15" s="346"/>
      <c r="H15" s="346"/>
      <c r="I15" s="346"/>
      <c r="J15" s="345">
        <f>D15</f>
        <v>431.62099999999998</v>
      </c>
      <c r="K15" s="346"/>
      <c r="L15" s="346"/>
      <c r="M15" s="346"/>
      <c r="N15" s="346"/>
      <c r="O15" s="346"/>
      <c r="P15" s="346"/>
      <c r="Q15" s="346"/>
      <c r="R15" s="346"/>
      <c r="S15" s="346"/>
      <c r="T15" s="346"/>
    </row>
    <row r="16" spans="1:20">
      <c r="A16" s="422">
        <v>3</v>
      </c>
      <c r="B16" s="425" t="s">
        <v>1371</v>
      </c>
      <c r="C16" s="476">
        <f>('[4]Bieu 57'!D15)/1000000</f>
        <v>50</v>
      </c>
      <c r="D16" s="476">
        <f>('[4]Bieu 57'!I15)/1000000</f>
        <v>50</v>
      </c>
      <c r="E16" s="346"/>
      <c r="F16" s="346"/>
      <c r="G16" s="346"/>
      <c r="H16" s="346"/>
      <c r="I16" s="346"/>
      <c r="J16" s="345">
        <f>D16</f>
        <v>50</v>
      </c>
      <c r="K16" s="346"/>
      <c r="L16" s="346"/>
      <c r="M16" s="346"/>
      <c r="N16" s="346"/>
      <c r="O16" s="346"/>
      <c r="P16" s="346"/>
      <c r="Q16" s="346"/>
      <c r="R16" s="346"/>
      <c r="S16" s="346"/>
      <c r="T16" s="346"/>
    </row>
    <row r="17" spans="1:20">
      <c r="A17" s="422">
        <v>4</v>
      </c>
      <c r="B17" s="425" t="s">
        <v>1372</v>
      </c>
      <c r="C17" s="476">
        <f>('[4]Bieu 57'!D16)/1000000</f>
        <v>630</v>
      </c>
      <c r="D17" s="476">
        <f>('[4]Bieu 57'!I16)/1000000</f>
        <v>630</v>
      </c>
      <c r="E17" s="346"/>
      <c r="F17" s="346"/>
      <c r="G17" s="346"/>
      <c r="H17" s="346"/>
      <c r="I17" s="346"/>
      <c r="J17" s="345">
        <f>D17</f>
        <v>630</v>
      </c>
      <c r="K17" s="346"/>
      <c r="L17" s="346"/>
      <c r="M17" s="346"/>
      <c r="N17" s="346"/>
      <c r="O17" s="346"/>
      <c r="P17" s="346"/>
      <c r="Q17" s="346"/>
      <c r="R17" s="346"/>
      <c r="S17" s="346"/>
      <c r="T17" s="346"/>
    </row>
    <row r="18" spans="1:20" s="421" customFormat="1">
      <c r="A18" s="426" t="s">
        <v>23</v>
      </c>
      <c r="B18" s="361" t="s">
        <v>1373</v>
      </c>
      <c r="C18" s="468">
        <f>C19+C140</f>
        <v>340243.18936199998</v>
      </c>
      <c r="D18" s="468">
        <f>D19+D140</f>
        <v>335688.5477479999</v>
      </c>
      <c r="E18" s="468">
        <f t="shared" ref="E18:T18" si="3">E19+E140</f>
        <v>335688.5477479999</v>
      </c>
      <c r="F18" s="468">
        <f t="shared" si="3"/>
        <v>0</v>
      </c>
      <c r="G18" s="468">
        <f t="shared" si="3"/>
        <v>0</v>
      </c>
      <c r="H18" s="468">
        <f t="shared" si="3"/>
        <v>0</v>
      </c>
      <c r="I18" s="468">
        <f t="shared" si="3"/>
        <v>0</v>
      </c>
      <c r="J18" s="468">
        <f t="shared" si="3"/>
        <v>0</v>
      </c>
      <c r="K18" s="468">
        <f t="shared" si="3"/>
        <v>0</v>
      </c>
      <c r="L18" s="468">
        <f t="shared" si="3"/>
        <v>0</v>
      </c>
      <c r="M18" s="468">
        <f t="shared" si="3"/>
        <v>0</v>
      </c>
      <c r="N18" s="468">
        <f t="shared" si="3"/>
        <v>0</v>
      </c>
      <c r="O18" s="468">
        <f t="shared" si="3"/>
        <v>0</v>
      </c>
      <c r="P18" s="468">
        <f t="shared" si="3"/>
        <v>0</v>
      </c>
      <c r="Q18" s="468">
        <f t="shared" si="3"/>
        <v>0</v>
      </c>
      <c r="R18" s="468">
        <f t="shared" si="3"/>
        <v>0</v>
      </c>
      <c r="S18" s="468">
        <f t="shared" si="3"/>
        <v>0</v>
      </c>
      <c r="T18" s="468">
        <f t="shared" si="3"/>
        <v>0</v>
      </c>
    </row>
    <row r="19" spans="1:20">
      <c r="A19" s="426" t="s">
        <v>1374</v>
      </c>
      <c r="B19" s="361" t="s">
        <v>1375</v>
      </c>
      <c r="C19" s="468">
        <f>C20+C59+C85+C117+C135</f>
        <v>284068.24011999997</v>
      </c>
      <c r="D19" s="468">
        <f>D20+D59+D85+D117+D135</f>
        <v>280733.91411999991</v>
      </c>
      <c r="E19" s="468">
        <f t="shared" ref="E19:T19" si="4">E20+E59+E85+E117+E135</f>
        <v>280733.91411999991</v>
      </c>
      <c r="F19" s="468">
        <f t="shared" si="4"/>
        <v>0</v>
      </c>
      <c r="G19" s="468">
        <f t="shared" si="4"/>
        <v>0</v>
      </c>
      <c r="H19" s="468">
        <f t="shared" si="4"/>
        <v>0</v>
      </c>
      <c r="I19" s="468">
        <f t="shared" si="4"/>
        <v>0</v>
      </c>
      <c r="J19" s="468">
        <f t="shared" si="4"/>
        <v>0</v>
      </c>
      <c r="K19" s="468">
        <f t="shared" si="4"/>
        <v>0</v>
      </c>
      <c r="L19" s="468">
        <f t="shared" si="4"/>
        <v>0</v>
      </c>
      <c r="M19" s="468">
        <f t="shared" si="4"/>
        <v>0</v>
      </c>
      <c r="N19" s="468">
        <f t="shared" si="4"/>
        <v>0</v>
      </c>
      <c r="O19" s="468">
        <f t="shared" si="4"/>
        <v>0</v>
      </c>
      <c r="P19" s="468">
        <f t="shared" si="4"/>
        <v>0</v>
      </c>
      <c r="Q19" s="468">
        <f t="shared" si="4"/>
        <v>0</v>
      </c>
      <c r="R19" s="468">
        <f t="shared" si="4"/>
        <v>0</v>
      </c>
      <c r="S19" s="468">
        <f t="shared" si="4"/>
        <v>0</v>
      </c>
      <c r="T19" s="468">
        <f t="shared" si="4"/>
        <v>0</v>
      </c>
    </row>
    <row r="20" spans="1:20" s="421" customFormat="1">
      <c r="A20" s="418" t="s">
        <v>191</v>
      </c>
      <c r="B20" s="419" t="s">
        <v>1376</v>
      </c>
      <c r="C20" s="468">
        <f>SUM(C21:C58)</f>
        <v>264159.88446999999</v>
      </c>
      <c r="D20" s="468">
        <f t="shared" ref="D20:T20" si="5">SUM(D21:D58)</f>
        <v>260855.71346999996</v>
      </c>
      <c r="E20" s="468">
        <f t="shared" si="5"/>
        <v>260855.71346999996</v>
      </c>
      <c r="F20" s="468">
        <f t="shared" si="5"/>
        <v>0</v>
      </c>
      <c r="G20" s="468">
        <f t="shared" si="5"/>
        <v>0</v>
      </c>
      <c r="H20" s="468">
        <f t="shared" si="5"/>
        <v>0</v>
      </c>
      <c r="I20" s="468">
        <f t="shared" si="5"/>
        <v>0</v>
      </c>
      <c r="J20" s="468">
        <f t="shared" si="5"/>
        <v>0</v>
      </c>
      <c r="K20" s="468">
        <f t="shared" si="5"/>
        <v>0</v>
      </c>
      <c r="L20" s="468">
        <f t="shared" si="5"/>
        <v>0</v>
      </c>
      <c r="M20" s="468">
        <f t="shared" si="5"/>
        <v>0</v>
      </c>
      <c r="N20" s="468">
        <f t="shared" si="5"/>
        <v>0</v>
      </c>
      <c r="O20" s="468">
        <f t="shared" si="5"/>
        <v>0</v>
      </c>
      <c r="P20" s="468">
        <f t="shared" si="5"/>
        <v>0</v>
      </c>
      <c r="Q20" s="468">
        <f t="shared" si="5"/>
        <v>0</v>
      </c>
      <c r="R20" s="468">
        <f t="shared" si="5"/>
        <v>0</v>
      </c>
      <c r="S20" s="468">
        <f t="shared" si="5"/>
        <v>0</v>
      </c>
      <c r="T20" s="468">
        <f t="shared" si="5"/>
        <v>0</v>
      </c>
    </row>
    <row r="21" spans="1:20">
      <c r="A21" s="422">
        <v>1</v>
      </c>
      <c r="B21" s="427" t="s">
        <v>1377</v>
      </c>
      <c r="C21" s="469">
        <f>('[4]Bieu 57'!D21)/1000000</f>
        <v>34102.629000000001</v>
      </c>
      <c r="D21" s="469">
        <f>('[4]Bieu 57'!I21)/1000000</f>
        <v>31016.425999999999</v>
      </c>
      <c r="E21" s="345">
        <f>D21</f>
        <v>31016.425999999999</v>
      </c>
      <c r="F21" s="346"/>
      <c r="G21" s="346"/>
      <c r="H21" s="346"/>
      <c r="I21" s="346"/>
      <c r="J21" s="346"/>
      <c r="K21" s="346"/>
      <c r="L21" s="346"/>
      <c r="M21" s="346"/>
      <c r="N21" s="346"/>
      <c r="O21" s="346"/>
      <c r="P21" s="346"/>
      <c r="Q21" s="346"/>
      <c r="R21" s="346"/>
      <c r="S21" s="346"/>
      <c r="T21" s="346"/>
    </row>
    <row r="22" spans="1:20">
      <c r="A22" s="428">
        <v>2</v>
      </c>
      <c r="B22" s="429" t="s">
        <v>1378</v>
      </c>
      <c r="C22" s="469">
        <f>('[4]Bieu 57'!D22)/1000000</f>
        <v>8086.4830000000002</v>
      </c>
      <c r="D22" s="469">
        <f>('[4]Bieu 57'!I22)/1000000</f>
        <v>7998.643</v>
      </c>
      <c r="E22" s="345">
        <f t="shared" ref="E22:E58" si="6">D22</f>
        <v>7998.643</v>
      </c>
      <c r="F22" s="346"/>
      <c r="G22" s="346"/>
      <c r="H22" s="346"/>
      <c r="I22" s="346"/>
      <c r="J22" s="346"/>
      <c r="K22" s="346"/>
      <c r="L22" s="346"/>
      <c r="M22" s="346"/>
      <c r="N22" s="346"/>
      <c r="O22" s="346"/>
      <c r="P22" s="346"/>
      <c r="Q22" s="346"/>
      <c r="R22" s="346"/>
      <c r="S22" s="346"/>
      <c r="T22" s="346"/>
    </row>
    <row r="23" spans="1:20">
      <c r="A23" s="422">
        <v>3</v>
      </c>
      <c r="B23" s="429" t="s">
        <v>1379</v>
      </c>
      <c r="C23" s="469">
        <f>('[4]Bieu 57'!D23)/1000000</f>
        <v>8750.4410000000007</v>
      </c>
      <c r="D23" s="469">
        <f>('[4]Bieu 57'!I23)/1000000</f>
        <v>8725.8330000000005</v>
      </c>
      <c r="E23" s="345">
        <f t="shared" si="6"/>
        <v>8725.8330000000005</v>
      </c>
      <c r="F23" s="346"/>
      <c r="G23" s="346"/>
      <c r="H23" s="346"/>
      <c r="I23" s="346"/>
      <c r="J23" s="346"/>
      <c r="K23" s="346"/>
      <c r="L23" s="346"/>
      <c r="M23" s="346"/>
      <c r="N23" s="346"/>
      <c r="O23" s="346"/>
      <c r="P23" s="346"/>
      <c r="Q23" s="346"/>
      <c r="R23" s="346"/>
      <c r="S23" s="346"/>
      <c r="T23" s="346"/>
    </row>
    <row r="24" spans="1:20">
      <c r="A24" s="428">
        <v>4</v>
      </c>
      <c r="B24" s="429" t="s">
        <v>1380</v>
      </c>
      <c r="C24" s="469">
        <f>('[4]Bieu 57'!D24)/1000000</f>
        <v>8148.63</v>
      </c>
      <c r="D24" s="469">
        <f>('[4]Bieu 57'!I24)/1000000</f>
        <v>8101.31</v>
      </c>
      <c r="E24" s="345">
        <f t="shared" si="6"/>
        <v>8101.31</v>
      </c>
      <c r="F24" s="346"/>
      <c r="G24" s="346"/>
      <c r="H24" s="346"/>
      <c r="I24" s="346"/>
      <c r="J24" s="346"/>
      <c r="K24" s="346"/>
      <c r="L24" s="346"/>
      <c r="M24" s="346"/>
      <c r="N24" s="346"/>
      <c r="O24" s="346"/>
      <c r="P24" s="346"/>
      <c r="Q24" s="346"/>
      <c r="R24" s="346"/>
      <c r="S24" s="346"/>
      <c r="T24" s="346"/>
    </row>
    <row r="25" spans="1:20">
      <c r="A25" s="422">
        <v>5</v>
      </c>
      <c r="B25" s="429" t="s">
        <v>1272</v>
      </c>
      <c r="C25" s="469">
        <f>('[4]Bieu 57'!D25)/1000000</f>
        <v>4084.4250000000002</v>
      </c>
      <c r="D25" s="469">
        <f>('[4]Bieu 57'!I25)/1000000</f>
        <v>4084.4250000000002</v>
      </c>
      <c r="E25" s="345">
        <f t="shared" si="6"/>
        <v>4084.4250000000002</v>
      </c>
      <c r="F25" s="346"/>
      <c r="G25" s="346"/>
      <c r="H25" s="346"/>
      <c r="I25" s="346"/>
      <c r="J25" s="346"/>
      <c r="K25" s="346"/>
      <c r="L25" s="346"/>
      <c r="M25" s="346"/>
      <c r="N25" s="346"/>
      <c r="O25" s="346"/>
      <c r="P25" s="346"/>
      <c r="Q25" s="346"/>
      <c r="R25" s="346"/>
      <c r="S25" s="346"/>
      <c r="T25" s="346"/>
    </row>
    <row r="26" spans="1:20">
      <c r="A26" s="428">
        <v>6</v>
      </c>
      <c r="B26" s="429" t="s">
        <v>1381</v>
      </c>
      <c r="C26" s="469">
        <f>('[4]Bieu 57'!D26)/1000000</f>
        <v>6722.741</v>
      </c>
      <c r="D26" s="469">
        <f>('[4]Bieu 57'!I26)/1000000</f>
        <v>6722.741</v>
      </c>
      <c r="E26" s="345">
        <f t="shared" si="6"/>
        <v>6722.741</v>
      </c>
      <c r="F26" s="346"/>
      <c r="G26" s="346"/>
      <c r="H26" s="346"/>
      <c r="I26" s="346"/>
      <c r="J26" s="346"/>
      <c r="K26" s="346"/>
      <c r="L26" s="346"/>
      <c r="M26" s="346"/>
      <c r="N26" s="346"/>
      <c r="O26" s="346"/>
      <c r="P26" s="346"/>
      <c r="Q26" s="346"/>
      <c r="R26" s="346"/>
      <c r="S26" s="346"/>
      <c r="T26" s="346"/>
    </row>
    <row r="27" spans="1:20">
      <c r="A27" s="422">
        <v>7</v>
      </c>
      <c r="B27" s="429" t="s">
        <v>1273</v>
      </c>
      <c r="C27" s="469">
        <f>('[4]Bieu 57'!D27)/1000000</f>
        <v>3649.7109999999998</v>
      </c>
      <c r="D27" s="469">
        <f>('[4]Bieu 57'!I27)/1000000</f>
        <v>3649.7109999999998</v>
      </c>
      <c r="E27" s="345">
        <f t="shared" si="6"/>
        <v>3649.7109999999998</v>
      </c>
      <c r="F27" s="346"/>
      <c r="G27" s="346"/>
      <c r="H27" s="346"/>
      <c r="I27" s="346"/>
      <c r="J27" s="346"/>
      <c r="K27" s="346"/>
      <c r="L27" s="346"/>
      <c r="M27" s="346"/>
      <c r="N27" s="346"/>
      <c r="O27" s="346"/>
      <c r="P27" s="346"/>
      <c r="Q27" s="346"/>
      <c r="R27" s="346"/>
      <c r="S27" s="346"/>
      <c r="T27" s="346"/>
    </row>
    <row r="28" spans="1:20">
      <c r="A28" s="428">
        <v>8</v>
      </c>
      <c r="B28" s="429" t="s">
        <v>1274</v>
      </c>
      <c r="C28" s="469">
        <f>('[4]Bieu 57'!D28)/1000000</f>
        <v>4058.9009999999998</v>
      </c>
      <c r="D28" s="469">
        <f>('[4]Bieu 57'!I28)/1000000</f>
        <v>4058.9010000000003</v>
      </c>
      <c r="E28" s="345">
        <f t="shared" si="6"/>
        <v>4058.9010000000003</v>
      </c>
      <c r="F28" s="346"/>
      <c r="G28" s="346"/>
      <c r="H28" s="346"/>
      <c r="I28" s="346"/>
      <c r="J28" s="346"/>
      <c r="K28" s="346"/>
      <c r="L28" s="346"/>
      <c r="M28" s="346"/>
      <c r="N28" s="346"/>
      <c r="O28" s="346"/>
      <c r="P28" s="346"/>
      <c r="Q28" s="346"/>
      <c r="R28" s="346"/>
      <c r="S28" s="346"/>
      <c r="T28" s="346"/>
    </row>
    <row r="29" spans="1:20">
      <c r="A29" s="422">
        <v>9</v>
      </c>
      <c r="B29" s="429" t="s">
        <v>1275</v>
      </c>
      <c r="C29" s="469">
        <f>('[4]Bieu 57'!D29)/1000000</f>
        <v>8116.1099999999988</v>
      </c>
      <c r="D29" s="469">
        <f>('[4]Bieu 57'!I29)/1000000</f>
        <v>8116.11</v>
      </c>
      <c r="E29" s="345">
        <f t="shared" si="6"/>
        <v>8116.11</v>
      </c>
      <c r="F29" s="346"/>
      <c r="G29" s="346"/>
      <c r="H29" s="346"/>
      <c r="I29" s="346"/>
      <c r="J29" s="346"/>
      <c r="K29" s="346"/>
      <c r="L29" s="346"/>
      <c r="M29" s="346"/>
      <c r="N29" s="346"/>
      <c r="O29" s="346"/>
      <c r="P29" s="346"/>
      <c r="Q29" s="346"/>
      <c r="R29" s="346"/>
      <c r="S29" s="346"/>
      <c r="T29" s="346"/>
    </row>
    <row r="30" spans="1:20">
      <c r="A30" s="428">
        <v>10</v>
      </c>
      <c r="B30" s="429" t="s">
        <v>1276</v>
      </c>
      <c r="C30" s="469">
        <f>('[4]Bieu 57'!D30)/1000000</f>
        <v>8604.9880000000012</v>
      </c>
      <c r="D30" s="469">
        <f>('[4]Bieu 57'!I30)/1000000</f>
        <v>8604.9880000000012</v>
      </c>
      <c r="E30" s="345">
        <f t="shared" si="6"/>
        <v>8604.9880000000012</v>
      </c>
      <c r="F30" s="346"/>
      <c r="G30" s="346"/>
      <c r="H30" s="346"/>
      <c r="I30" s="346"/>
      <c r="J30" s="346"/>
      <c r="K30" s="346"/>
      <c r="L30" s="346"/>
      <c r="M30" s="346"/>
      <c r="N30" s="346"/>
      <c r="O30" s="346"/>
      <c r="P30" s="346"/>
      <c r="Q30" s="346"/>
      <c r="R30" s="346"/>
      <c r="S30" s="346"/>
      <c r="T30" s="346"/>
    </row>
    <row r="31" spans="1:20">
      <c r="A31" s="422">
        <v>11</v>
      </c>
      <c r="B31" s="429" t="s">
        <v>1277</v>
      </c>
      <c r="C31" s="469">
        <f>('[4]Bieu 57'!D31)/1000000</f>
        <v>6811.87</v>
      </c>
      <c r="D31" s="469">
        <f>('[4]Bieu 57'!I31)/1000000</f>
        <v>6811.869999999999</v>
      </c>
      <c r="E31" s="345">
        <f t="shared" si="6"/>
        <v>6811.869999999999</v>
      </c>
      <c r="F31" s="346"/>
      <c r="G31" s="346"/>
      <c r="H31" s="346"/>
      <c r="I31" s="346"/>
      <c r="J31" s="346"/>
      <c r="K31" s="346"/>
      <c r="L31" s="346"/>
      <c r="M31" s="346"/>
      <c r="N31" s="346"/>
      <c r="O31" s="346"/>
      <c r="P31" s="346"/>
      <c r="Q31" s="346"/>
      <c r="R31" s="346"/>
      <c r="S31" s="346"/>
      <c r="T31" s="346"/>
    </row>
    <row r="32" spans="1:20">
      <c r="A32" s="428">
        <v>12</v>
      </c>
      <c r="B32" s="429" t="s">
        <v>1278</v>
      </c>
      <c r="C32" s="469">
        <f>('[4]Bieu 57'!D32)/1000000</f>
        <v>13298.189</v>
      </c>
      <c r="D32" s="469">
        <f>('[4]Bieu 57'!I32)/1000000</f>
        <v>13239.989</v>
      </c>
      <c r="E32" s="345">
        <f t="shared" si="6"/>
        <v>13239.989</v>
      </c>
      <c r="F32" s="346"/>
      <c r="G32" s="346"/>
      <c r="H32" s="346"/>
      <c r="I32" s="346"/>
      <c r="J32" s="346"/>
      <c r="K32" s="346"/>
      <c r="L32" s="346"/>
      <c r="M32" s="346"/>
      <c r="N32" s="346"/>
      <c r="O32" s="346"/>
      <c r="P32" s="346"/>
      <c r="Q32" s="346"/>
      <c r="R32" s="346"/>
      <c r="S32" s="346"/>
      <c r="T32" s="346"/>
    </row>
    <row r="33" spans="1:20">
      <c r="A33" s="422">
        <v>13</v>
      </c>
      <c r="B33" s="429" t="s">
        <v>1279</v>
      </c>
      <c r="C33" s="469">
        <f>('[4]Bieu 57'!D33)/1000000</f>
        <v>4976.5079999999998</v>
      </c>
      <c r="D33" s="469">
        <f>('[4]Bieu 57'!I33)/1000000</f>
        <v>4976.5079999999989</v>
      </c>
      <c r="E33" s="345">
        <f t="shared" si="6"/>
        <v>4976.5079999999989</v>
      </c>
      <c r="F33" s="346"/>
      <c r="G33" s="346"/>
      <c r="H33" s="346"/>
      <c r="I33" s="346"/>
      <c r="J33" s="346"/>
      <c r="K33" s="346"/>
      <c r="L33" s="346"/>
      <c r="M33" s="346"/>
      <c r="N33" s="346"/>
      <c r="O33" s="346"/>
      <c r="P33" s="346"/>
      <c r="Q33" s="346"/>
      <c r="R33" s="346"/>
      <c r="S33" s="346"/>
      <c r="T33" s="346"/>
    </row>
    <row r="34" spans="1:20">
      <c r="A34" s="428">
        <v>14</v>
      </c>
      <c r="B34" s="429" t="s">
        <v>1280</v>
      </c>
      <c r="C34" s="469">
        <f>('[4]Bieu 57'!D34)/1000000</f>
        <v>7019</v>
      </c>
      <c r="D34" s="469">
        <f>('[4]Bieu 57'!I34)/1000000</f>
        <v>7019</v>
      </c>
      <c r="E34" s="345">
        <f t="shared" si="6"/>
        <v>7019</v>
      </c>
      <c r="F34" s="346"/>
      <c r="G34" s="346"/>
      <c r="H34" s="346"/>
      <c r="I34" s="346"/>
      <c r="J34" s="346"/>
      <c r="K34" s="346"/>
      <c r="L34" s="346"/>
      <c r="M34" s="346"/>
      <c r="N34" s="346"/>
      <c r="O34" s="346"/>
      <c r="P34" s="346"/>
      <c r="Q34" s="346"/>
      <c r="R34" s="346"/>
      <c r="S34" s="346"/>
      <c r="T34" s="346"/>
    </row>
    <row r="35" spans="1:20">
      <c r="A35" s="422">
        <v>15</v>
      </c>
      <c r="B35" s="429" t="s">
        <v>1281</v>
      </c>
      <c r="C35" s="469">
        <f>('[4]Bieu 57'!D35)/1000000</f>
        <v>4747.6880000000001</v>
      </c>
      <c r="D35" s="469">
        <f>('[4]Bieu 57'!I35)/1000000</f>
        <v>4747.6880000000001</v>
      </c>
      <c r="E35" s="345">
        <f t="shared" si="6"/>
        <v>4747.6880000000001</v>
      </c>
      <c r="F35" s="346"/>
      <c r="G35" s="346"/>
      <c r="H35" s="346"/>
      <c r="I35" s="346"/>
      <c r="J35" s="346"/>
      <c r="K35" s="346"/>
      <c r="L35" s="346"/>
      <c r="M35" s="346"/>
      <c r="N35" s="346"/>
      <c r="O35" s="346"/>
      <c r="P35" s="346"/>
      <c r="Q35" s="346"/>
      <c r="R35" s="346"/>
      <c r="S35" s="346"/>
      <c r="T35" s="346"/>
    </row>
    <row r="36" spans="1:20">
      <c r="A36" s="428">
        <v>16</v>
      </c>
      <c r="B36" s="429" t="s">
        <v>1282</v>
      </c>
      <c r="C36" s="469">
        <f>('[4]Bieu 57'!D36)/1000000</f>
        <v>9867.0419999999995</v>
      </c>
      <c r="D36" s="469">
        <f>('[4]Bieu 57'!I36)/1000000</f>
        <v>9867.0419999999995</v>
      </c>
      <c r="E36" s="345">
        <f t="shared" si="6"/>
        <v>9867.0419999999995</v>
      </c>
      <c r="F36" s="346"/>
      <c r="G36" s="346"/>
      <c r="H36" s="346"/>
      <c r="I36" s="346"/>
      <c r="J36" s="346"/>
      <c r="K36" s="346"/>
      <c r="L36" s="346"/>
      <c r="M36" s="346"/>
      <c r="N36" s="346"/>
      <c r="O36" s="346"/>
      <c r="P36" s="346"/>
      <c r="Q36" s="346"/>
      <c r="R36" s="346"/>
      <c r="S36" s="346"/>
      <c r="T36" s="346"/>
    </row>
    <row r="37" spans="1:20">
      <c r="A37" s="422">
        <v>17</v>
      </c>
      <c r="B37" s="429" t="s">
        <v>1283</v>
      </c>
      <c r="C37" s="469">
        <f>('[4]Bieu 57'!D37)/1000000</f>
        <v>8509.6809999999987</v>
      </c>
      <c r="D37" s="469">
        <f>('[4]Bieu 57'!I37)/1000000</f>
        <v>8509.6810000000005</v>
      </c>
      <c r="E37" s="345">
        <f t="shared" si="6"/>
        <v>8509.6810000000005</v>
      </c>
      <c r="F37" s="346"/>
      <c r="G37" s="346"/>
      <c r="H37" s="346"/>
      <c r="I37" s="346"/>
      <c r="J37" s="346"/>
      <c r="K37" s="346"/>
      <c r="L37" s="346"/>
      <c r="M37" s="346"/>
      <c r="N37" s="346"/>
      <c r="O37" s="346"/>
      <c r="P37" s="346"/>
      <c r="Q37" s="346"/>
      <c r="R37" s="346"/>
      <c r="S37" s="346"/>
      <c r="T37" s="346"/>
    </row>
    <row r="38" spans="1:20">
      <c r="A38" s="428">
        <v>18</v>
      </c>
      <c r="B38" s="429" t="s">
        <v>1284</v>
      </c>
      <c r="C38" s="469">
        <f>('[4]Bieu 57'!D38)/1000000</f>
        <v>8567.2579999999998</v>
      </c>
      <c r="D38" s="469">
        <f>('[4]Bieu 57'!I38)/1000000</f>
        <v>8567.2579999999998</v>
      </c>
      <c r="E38" s="345">
        <f t="shared" si="6"/>
        <v>8567.2579999999998</v>
      </c>
      <c r="F38" s="346"/>
      <c r="G38" s="346"/>
      <c r="H38" s="346"/>
      <c r="I38" s="346"/>
      <c r="J38" s="346"/>
      <c r="K38" s="346"/>
      <c r="L38" s="346"/>
      <c r="M38" s="346"/>
      <c r="N38" s="346"/>
      <c r="O38" s="346"/>
      <c r="P38" s="346"/>
      <c r="Q38" s="346"/>
      <c r="R38" s="346"/>
      <c r="S38" s="346"/>
      <c r="T38" s="346"/>
    </row>
    <row r="39" spans="1:20">
      <c r="A39" s="422">
        <v>19</v>
      </c>
      <c r="B39" s="429" t="s">
        <v>1285</v>
      </c>
      <c r="C39" s="469">
        <f>('[4]Bieu 57'!D39)/1000000</f>
        <v>8466.400999999998</v>
      </c>
      <c r="D39" s="469">
        <f>('[4]Bieu 57'!I39)/1000000</f>
        <v>8466.400999999998</v>
      </c>
      <c r="E39" s="345">
        <f t="shared" si="6"/>
        <v>8466.400999999998</v>
      </c>
      <c r="F39" s="346"/>
      <c r="G39" s="346"/>
      <c r="H39" s="346"/>
      <c r="I39" s="346"/>
      <c r="J39" s="346"/>
      <c r="K39" s="346"/>
      <c r="L39" s="346"/>
      <c r="M39" s="346"/>
      <c r="N39" s="346"/>
      <c r="O39" s="346"/>
      <c r="P39" s="346"/>
      <c r="Q39" s="346"/>
      <c r="R39" s="346"/>
      <c r="S39" s="346"/>
      <c r="T39" s="346"/>
    </row>
    <row r="40" spans="1:20">
      <c r="A40" s="428">
        <v>20</v>
      </c>
      <c r="B40" s="429" t="s">
        <v>1286</v>
      </c>
      <c r="C40" s="469">
        <f>('[4]Bieu 57'!D40)/1000000</f>
        <v>3673.741</v>
      </c>
      <c r="D40" s="469">
        <f>('[4]Bieu 57'!I40)/1000000</f>
        <v>3673.741</v>
      </c>
      <c r="E40" s="345">
        <f t="shared" si="6"/>
        <v>3673.741</v>
      </c>
      <c r="F40" s="346"/>
      <c r="G40" s="346"/>
      <c r="H40" s="346"/>
      <c r="I40" s="346"/>
      <c r="J40" s="346"/>
      <c r="K40" s="346"/>
      <c r="L40" s="346"/>
      <c r="M40" s="346"/>
      <c r="N40" s="346"/>
      <c r="O40" s="346"/>
      <c r="P40" s="346"/>
      <c r="Q40" s="346"/>
      <c r="R40" s="346"/>
      <c r="S40" s="346"/>
      <c r="T40" s="346"/>
    </row>
    <row r="41" spans="1:20">
      <c r="A41" s="422">
        <v>21</v>
      </c>
      <c r="B41" s="429" t="s">
        <v>1287</v>
      </c>
      <c r="C41" s="469">
        <f>('[4]Bieu 57'!D41)/1000000</f>
        <v>4926.3190000000004</v>
      </c>
      <c r="D41" s="469">
        <f>('[4]Bieu 57'!I41)/1000000</f>
        <v>4926.3190000000004</v>
      </c>
      <c r="E41" s="345">
        <f t="shared" si="6"/>
        <v>4926.3190000000004</v>
      </c>
      <c r="F41" s="346"/>
      <c r="G41" s="346"/>
      <c r="H41" s="346"/>
      <c r="I41" s="346"/>
      <c r="J41" s="346"/>
      <c r="K41" s="346"/>
      <c r="L41" s="346"/>
      <c r="M41" s="346"/>
      <c r="N41" s="346"/>
      <c r="O41" s="346"/>
      <c r="P41" s="346"/>
      <c r="Q41" s="346"/>
      <c r="R41" s="346"/>
      <c r="S41" s="346"/>
      <c r="T41" s="346"/>
    </row>
    <row r="42" spans="1:20">
      <c r="A42" s="428">
        <v>22</v>
      </c>
      <c r="B42" s="429" t="s">
        <v>1288</v>
      </c>
      <c r="C42" s="469">
        <f>('[4]Bieu 57'!D42)/1000000</f>
        <v>9927.4130000000005</v>
      </c>
      <c r="D42" s="469">
        <f>('[4]Bieu 57'!I42)/1000000</f>
        <v>9927.4130000000005</v>
      </c>
      <c r="E42" s="345">
        <f t="shared" si="6"/>
        <v>9927.4130000000005</v>
      </c>
      <c r="F42" s="346"/>
      <c r="G42" s="346"/>
      <c r="H42" s="346"/>
      <c r="I42" s="346"/>
      <c r="J42" s="346"/>
      <c r="K42" s="346"/>
      <c r="L42" s="346"/>
      <c r="M42" s="346"/>
      <c r="N42" s="346"/>
      <c r="O42" s="346"/>
      <c r="P42" s="346"/>
      <c r="Q42" s="346"/>
      <c r="R42" s="346"/>
      <c r="S42" s="346"/>
      <c r="T42" s="346"/>
    </row>
    <row r="43" spans="1:20">
      <c r="A43" s="422">
        <v>23</v>
      </c>
      <c r="B43" s="429" t="s">
        <v>1289</v>
      </c>
      <c r="C43" s="469">
        <f>('[4]Bieu 57'!D43)/1000000</f>
        <v>4025.799</v>
      </c>
      <c r="D43" s="469">
        <f>('[4]Bieu 57'!I43)/1000000</f>
        <v>4025.799</v>
      </c>
      <c r="E43" s="345">
        <f t="shared" si="6"/>
        <v>4025.799</v>
      </c>
      <c r="F43" s="346"/>
      <c r="G43" s="346"/>
      <c r="H43" s="346"/>
      <c r="I43" s="346"/>
      <c r="J43" s="346"/>
      <c r="K43" s="346"/>
      <c r="L43" s="346"/>
      <c r="M43" s="346"/>
      <c r="N43" s="346"/>
      <c r="O43" s="346"/>
      <c r="P43" s="346"/>
      <c r="Q43" s="346"/>
      <c r="R43" s="346"/>
      <c r="S43" s="346"/>
      <c r="T43" s="346"/>
    </row>
    <row r="44" spans="1:20">
      <c r="A44" s="428">
        <v>24</v>
      </c>
      <c r="B44" s="429" t="s">
        <v>1290</v>
      </c>
      <c r="C44" s="469">
        <f>('[4]Bieu 57'!D44)/1000000</f>
        <v>7729.75947</v>
      </c>
      <c r="D44" s="469">
        <f>('[4]Bieu 57'!I44)/1000000</f>
        <v>7729.75947</v>
      </c>
      <c r="E44" s="345">
        <f t="shared" si="6"/>
        <v>7729.75947</v>
      </c>
      <c r="F44" s="346"/>
      <c r="G44" s="346"/>
      <c r="H44" s="346"/>
      <c r="I44" s="346"/>
      <c r="J44" s="346"/>
      <c r="K44" s="346"/>
      <c r="L44" s="346"/>
      <c r="M44" s="346"/>
      <c r="N44" s="346"/>
      <c r="O44" s="346"/>
      <c r="P44" s="346"/>
      <c r="Q44" s="346"/>
      <c r="R44" s="346"/>
      <c r="S44" s="346"/>
      <c r="T44" s="346"/>
    </row>
    <row r="45" spans="1:20">
      <c r="A45" s="422">
        <v>25</v>
      </c>
      <c r="B45" s="429" t="s">
        <v>1291</v>
      </c>
      <c r="C45" s="469">
        <f>('[4]Bieu 57'!D45)/1000000</f>
        <v>3054.8229999999999</v>
      </c>
      <c r="D45" s="469">
        <f>('[4]Bieu 57'!I45)/1000000</f>
        <v>3054.8229999999999</v>
      </c>
      <c r="E45" s="345">
        <f t="shared" si="6"/>
        <v>3054.8229999999999</v>
      </c>
      <c r="F45" s="346"/>
      <c r="G45" s="346"/>
      <c r="H45" s="346"/>
      <c r="I45" s="346"/>
      <c r="J45" s="346"/>
      <c r="K45" s="346"/>
      <c r="L45" s="346"/>
      <c r="M45" s="346"/>
      <c r="N45" s="346"/>
      <c r="O45" s="346"/>
      <c r="P45" s="346"/>
      <c r="Q45" s="346"/>
      <c r="R45" s="346"/>
      <c r="S45" s="346"/>
      <c r="T45" s="346"/>
    </row>
    <row r="46" spans="1:20">
      <c r="A46" s="428">
        <v>26</v>
      </c>
      <c r="B46" s="429" t="s">
        <v>1292</v>
      </c>
      <c r="C46" s="469">
        <f>('[4]Bieu 57'!D46)/1000000</f>
        <v>3717.3209999999999</v>
      </c>
      <c r="D46" s="469">
        <f>('[4]Bieu 57'!I46)/1000000</f>
        <v>3717.3209999999999</v>
      </c>
      <c r="E46" s="345">
        <f t="shared" si="6"/>
        <v>3717.3209999999999</v>
      </c>
      <c r="F46" s="346"/>
      <c r="G46" s="346"/>
      <c r="H46" s="346"/>
      <c r="I46" s="346"/>
      <c r="J46" s="346"/>
      <c r="K46" s="346"/>
      <c r="L46" s="346"/>
      <c r="M46" s="346"/>
      <c r="N46" s="346"/>
      <c r="O46" s="346"/>
      <c r="P46" s="346"/>
      <c r="Q46" s="346"/>
      <c r="R46" s="346"/>
      <c r="S46" s="346"/>
      <c r="T46" s="346"/>
    </row>
    <row r="47" spans="1:20">
      <c r="A47" s="422">
        <v>27</v>
      </c>
      <c r="B47" s="429" t="s">
        <v>1293</v>
      </c>
      <c r="C47" s="469">
        <f>('[4]Bieu 57'!D47)/1000000</f>
        <v>5745.5339999999997</v>
      </c>
      <c r="D47" s="469">
        <f>('[4]Bieu 57'!I47)/1000000</f>
        <v>5745.5339999999997</v>
      </c>
      <c r="E47" s="345">
        <f t="shared" si="6"/>
        <v>5745.5339999999997</v>
      </c>
      <c r="F47" s="346"/>
      <c r="G47" s="346"/>
      <c r="H47" s="346"/>
      <c r="I47" s="346"/>
      <c r="J47" s="346"/>
      <c r="K47" s="346"/>
      <c r="L47" s="346"/>
      <c r="M47" s="346"/>
      <c r="N47" s="346"/>
      <c r="O47" s="346"/>
      <c r="P47" s="346"/>
      <c r="Q47" s="346"/>
      <c r="R47" s="346"/>
      <c r="S47" s="346"/>
      <c r="T47" s="346"/>
    </row>
    <row r="48" spans="1:20">
      <c r="A48" s="428">
        <v>28</v>
      </c>
      <c r="B48" s="429" t="s">
        <v>1294</v>
      </c>
      <c r="C48" s="469">
        <f>('[4]Bieu 57'!D48)/1000000</f>
        <v>3453.7469999999998</v>
      </c>
      <c r="D48" s="469">
        <f>('[4]Bieu 57'!I48)/1000000</f>
        <v>3453.7469999999998</v>
      </c>
      <c r="E48" s="345">
        <f t="shared" si="6"/>
        <v>3453.7469999999998</v>
      </c>
      <c r="F48" s="346"/>
      <c r="G48" s="346"/>
      <c r="H48" s="346"/>
      <c r="I48" s="346"/>
      <c r="J48" s="346"/>
      <c r="K48" s="346"/>
      <c r="L48" s="346"/>
      <c r="M48" s="346"/>
      <c r="N48" s="346"/>
      <c r="O48" s="346"/>
      <c r="P48" s="346"/>
      <c r="Q48" s="346"/>
      <c r="R48" s="346"/>
      <c r="S48" s="346"/>
      <c r="T48" s="346"/>
    </row>
    <row r="49" spans="1:20">
      <c r="A49" s="422">
        <v>29</v>
      </c>
      <c r="B49" s="429" t="s">
        <v>1295</v>
      </c>
      <c r="C49" s="469">
        <f>('[4]Bieu 57'!D49)/1000000</f>
        <v>6556.2719999999999</v>
      </c>
      <c r="D49" s="469">
        <f>('[4]Bieu 57'!I49)/1000000</f>
        <v>6556.2719999999999</v>
      </c>
      <c r="E49" s="345">
        <f t="shared" si="6"/>
        <v>6556.2719999999999</v>
      </c>
      <c r="F49" s="346"/>
      <c r="G49" s="346"/>
      <c r="H49" s="346"/>
      <c r="I49" s="346"/>
      <c r="J49" s="346"/>
      <c r="K49" s="346"/>
      <c r="L49" s="346"/>
      <c r="M49" s="346"/>
      <c r="N49" s="346"/>
      <c r="O49" s="346"/>
      <c r="P49" s="346"/>
      <c r="Q49" s="346"/>
      <c r="R49" s="346"/>
      <c r="S49" s="346"/>
      <c r="T49" s="346"/>
    </row>
    <row r="50" spans="1:20">
      <c r="A50" s="428">
        <v>30</v>
      </c>
      <c r="B50" s="429" t="s">
        <v>1296</v>
      </c>
      <c r="C50" s="469">
        <f>('[4]Bieu 57'!D50)/1000000</f>
        <v>4192.9579999999996</v>
      </c>
      <c r="D50" s="469">
        <f>('[4]Bieu 57'!I50)/1000000</f>
        <v>4192.9579999999996</v>
      </c>
      <c r="E50" s="345">
        <f t="shared" si="6"/>
        <v>4192.9579999999996</v>
      </c>
      <c r="F50" s="346"/>
      <c r="G50" s="346"/>
      <c r="H50" s="346"/>
      <c r="I50" s="346"/>
      <c r="J50" s="346"/>
      <c r="K50" s="346"/>
      <c r="L50" s="346"/>
      <c r="M50" s="346"/>
      <c r="N50" s="346"/>
      <c r="O50" s="346"/>
      <c r="P50" s="346"/>
      <c r="Q50" s="346"/>
      <c r="R50" s="346"/>
      <c r="S50" s="346"/>
      <c r="T50" s="346"/>
    </row>
    <row r="51" spans="1:20">
      <c r="A51" s="422">
        <v>31</v>
      </c>
      <c r="B51" s="429" t="s">
        <v>1297</v>
      </c>
      <c r="C51" s="469">
        <f>('[4]Bieu 57'!D51)/1000000</f>
        <v>3744.2809999999999</v>
      </c>
      <c r="D51" s="469">
        <f>('[4]Bieu 57'!I51)/1000000</f>
        <v>3744.2809999999995</v>
      </c>
      <c r="E51" s="345">
        <f t="shared" si="6"/>
        <v>3744.2809999999995</v>
      </c>
      <c r="F51" s="346"/>
      <c r="G51" s="346"/>
      <c r="H51" s="346"/>
      <c r="I51" s="346"/>
      <c r="J51" s="346"/>
      <c r="K51" s="346"/>
      <c r="L51" s="346"/>
      <c r="M51" s="346"/>
      <c r="N51" s="346"/>
      <c r="O51" s="346"/>
      <c r="P51" s="346"/>
      <c r="Q51" s="346"/>
      <c r="R51" s="346"/>
      <c r="S51" s="346"/>
      <c r="T51" s="346"/>
    </row>
    <row r="52" spans="1:20">
      <c r="A52" s="428">
        <v>32</v>
      </c>
      <c r="B52" s="429" t="s">
        <v>1298</v>
      </c>
      <c r="C52" s="469">
        <f>('[4]Bieu 57'!D52)/1000000</f>
        <v>7758.0609999999997</v>
      </c>
      <c r="D52" s="469">
        <f>('[4]Bieu 57'!I52)/1000000</f>
        <v>7758.0609999999979</v>
      </c>
      <c r="E52" s="345">
        <f t="shared" si="6"/>
        <v>7758.0609999999979</v>
      </c>
      <c r="F52" s="346"/>
      <c r="G52" s="346"/>
      <c r="H52" s="346"/>
      <c r="I52" s="346"/>
      <c r="J52" s="346"/>
      <c r="K52" s="346"/>
      <c r="L52" s="346"/>
      <c r="M52" s="346"/>
      <c r="N52" s="346"/>
      <c r="O52" s="346"/>
      <c r="P52" s="346"/>
      <c r="Q52" s="346"/>
      <c r="R52" s="346"/>
      <c r="S52" s="346"/>
      <c r="T52" s="346"/>
    </row>
    <row r="53" spans="1:20">
      <c r="A53" s="422">
        <v>33</v>
      </c>
      <c r="B53" s="429" t="s">
        <v>1299</v>
      </c>
      <c r="C53" s="469">
        <f>('[4]Bieu 57'!D53)/1000000</f>
        <v>9346.3289999999979</v>
      </c>
      <c r="D53" s="469">
        <f>('[4]Bieu 57'!I53)/1000000</f>
        <v>9346.3289999999979</v>
      </c>
      <c r="E53" s="345">
        <f t="shared" si="6"/>
        <v>9346.3289999999979</v>
      </c>
      <c r="F53" s="346"/>
      <c r="G53" s="346"/>
      <c r="H53" s="346"/>
      <c r="I53" s="346"/>
      <c r="J53" s="346"/>
      <c r="K53" s="346"/>
      <c r="L53" s="346"/>
      <c r="M53" s="346"/>
      <c r="N53" s="346"/>
      <c r="O53" s="346"/>
      <c r="P53" s="346"/>
      <c r="Q53" s="346"/>
      <c r="R53" s="346"/>
      <c r="S53" s="346"/>
      <c r="T53" s="346"/>
    </row>
    <row r="54" spans="1:20">
      <c r="A54" s="428">
        <v>34</v>
      </c>
      <c r="B54" s="429" t="s">
        <v>1300</v>
      </c>
      <c r="C54" s="469">
        <f>('[4]Bieu 57'!D54)/1000000</f>
        <v>7314.4720000000007</v>
      </c>
      <c r="D54" s="469">
        <f>('[4]Bieu 57'!I54)/1000000</f>
        <v>7314.4720000000007</v>
      </c>
      <c r="E54" s="345">
        <f t="shared" si="6"/>
        <v>7314.4720000000007</v>
      </c>
      <c r="F54" s="346"/>
      <c r="G54" s="346"/>
      <c r="H54" s="346"/>
      <c r="I54" s="346"/>
      <c r="J54" s="346"/>
      <c r="K54" s="346"/>
      <c r="L54" s="346"/>
      <c r="M54" s="346"/>
      <c r="N54" s="346"/>
      <c r="O54" s="346"/>
      <c r="P54" s="346"/>
      <c r="Q54" s="346"/>
      <c r="R54" s="346"/>
      <c r="S54" s="346"/>
      <c r="T54" s="346"/>
    </row>
    <row r="55" spans="1:20">
      <c r="A55" s="422">
        <v>35</v>
      </c>
      <c r="B55" s="429" t="s">
        <v>1301</v>
      </c>
      <c r="C55" s="469">
        <f>('[4]Bieu 57'!D55)/1000000</f>
        <v>8523.2430000000004</v>
      </c>
      <c r="D55" s="469">
        <f>('[4]Bieu 57'!I55)/1000000</f>
        <v>8523.2430000000004</v>
      </c>
      <c r="E55" s="345">
        <f t="shared" si="6"/>
        <v>8523.2430000000004</v>
      </c>
      <c r="F55" s="346"/>
      <c r="G55" s="346"/>
      <c r="H55" s="346"/>
      <c r="I55" s="346"/>
      <c r="J55" s="346"/>
      <c r="K55" s="346"/>
      <c r="L55" s="346"/>
      <c r="M55" s="346"/>
      <c r="N55" s="346"/>
      <c r="O55" s="346"/>
      <c r="P55" s="346"/>
      <c r="Q55" s="346"/>
      <c r="R55" s="346"/>
      <c r="S55" s="346"/>
      <c r="T55" s="346"/>
    </row>
    <row r="56" spans="1:20">
      <c r="A56" s="428">
        <v>36</v>
      </c>
      <c r="B56" s="430" t="s">
        <v>1302</v>
      </c>
      <c r="C56" s="469">
        <f>('[4]Bieu 57'!D56)/1000000</f>
        <v>3427.1959999999999</v>
      </c>
      <c r="D56" s="469">
        <f>('[4]Bieu 57'!I56)/1000000</f>
        <v>3427.1959999999999</v>
      </c>
      <c r="E56" s="345">
        <f t="shared" si="6"/>
        <v>3427.1959999999999</v>
      </c>
      <c r="F56" s="346"/>
      <c r="G56" s="346"/>
      <c r="H56" s="346"/>
      <c r="I56" s="346"/>
      <c r="J56" s="346"/>
      <c r="K56" s="346"/>
      <c r="L56" s="346"/>
      <c r="M56" s="346"/>
      <c r="N56" s="346"/>
      <c r="O56" s="346"/>
      <c r="P56" s="346"/>
      <c r="Q56" s="346"/>
      <c r="R56" s="346"/>
      <c r="S56" s="346"/>
      <c r="T56" s="346"/>
    </row>
    <row r="57" spans="1:20">
      <c r="A57" s="422">
        <v>37</v>
      </c>
      <c r="B57" s="430" t="s">
        <v>1303</v>
      </c>
      <c r="C57" s="469">
        <f>('[4]Bieu 57'!D57)/1000000</f>
        <v>453.92</v>
      </c>
      <c r="D57" s="469">
        <f>('[4]Bieu 57'!I57)/1000000</f>
        <v>453.92</v>
      </c>
      <c r="E57" s="345">
        <f t="shared" si="6"/>
        <v>453.92</v>
      </c>
      <c r="F57" s="346"/>
      <c r="G57" s="346"/>
      <c r="H57" s="346"/>
      <c r="I57" s="346"/>
      <c r="J57" s="346"/>
      <c r="K57" s="346"/>
      <c r="L57" s="346"/>
      <c r="M57" s="346"/>
      <c r="N57" s="346"/>
      <c r="O57" s="346"/>
      <c r="P57" s="346"/>
      <c r="Q57" s="346"/>
      <c r="R57" s="346"/>
      <c r="S57" s="346"/>
      <c r="T57" s="346"/>
    </row>
    <row r="58" spans="1:20">
      <c r="A58" s="428"/>
      <c r="B58" s="430"/>
      <c r="C58" s="471">
        <f>'[4]Bieu 57'!D58</f>
        <v>0</v>
      </c>
      <c r="D58" s="345">
        <f>'[4]Bieu 57'!I58</f>
        <v>0</v>
      </c>
      <c r="E58" s="345">
        <f t="shared" si="6"/>
        <v>0</v>
      </c>
      <c r="F58" s="346"/>
      <c r="G58" s="346"/>
      <c r="H58" s="346"/>
      <c r="I58" s="346"/>
      <c r="J58" s="346"/>
      <c r="K58" s="346"/>
      <c r="L58" s="346"/>
      <c r="M58" s="346"/>
      <c r="N58" s="346"/>
      <c r="O58" s="346"/>
      <c r="P58" s="346"/>
      <c r="Q58" s="346"/>
      <c r="R58" s="346"/>
      <c r="S58" s="346"/>
      <c r="T58" s="346"/>
    </row>
    <row r="59" spans="1:20" s="421" customFormat="1" ht="38.25">
      <c r="A59" s="431" t="s">
        <v>192</v>
      </c>
      <c r="B59" s="432" t="s">
        <v>1382</v>
      </c>
      <c r="C59" s="468">
        <f>SUM(C60:C84)</f>
        <v>9045.2630000000008</v>
      </c>
      <c r="D59" s="468">
        <f t="shared" ref="D59:T59" si="7">SUM(D60:D84)</f>
        <v>9023.3880000000008</v>
      </c>
      <c r="E59" s="468">
        <f t="shared" si="7"/>
        <v>9023.3880000000008</v>
      </c>
      <c r="F59" s="468">
        <f t="shared" si="7"/>
        <v>0</v>
      </c>
      <c r="G59" s="468">
        <f t="shared" si="7"/>
        <v>0</v>
      </c>
      <c r="H59" s="468">
        <f t="shared" si="7"/>
        <v>0</v>
      </c>
      <c r="I59" s="468">
        <f t="shared" si="7"/>
        <v>0</v>
      </c>
      <c r="J59" s="468">
        <f t="shared" si="7"/>
        <v>0</v>
      </c>
      <c r="K59" s="468">
        <f t="shared" si="7"/>
        <v>0</v>
      </c>
      <c r="L59" s="468">
        <f t="shared" si="7"/>
        <v>0</v>
      </c>
      <c r="M59" s="468">
        <f t="shared" si="7"/>
        <v>0</v>
      </c>
      <c r="N59" s="468">
        <f t="shared" si="7"/>
        <v>0</v>
      </c>
      <c r="O59" s="468">
        <f t="shared" si="7"/>
        <v>0</v>
      </c>
      <c r="P59" s="468">
        <f t="shared" si="7"/>
        <v>0</v>
      </c>
      <c r="Q59" s="468">
        <f t="shared" si="7"/>
        <v>0</v>
      </c>
      <c r="R59" s="468">
        <f t="shared" si="7"/>
        <v>0</v>
      </c>
      <c r="S59" s="468">
        <f t="shared" si="7"/>
        <v>0</v>
      </c>
      <c r="T59" s="468">
        <f t="shared" si="7"/>
        <v>0</v>
      </c>
    </row>
    <row r="60" spans="1:20">
      <c r="A60" s="428">
        <v>1</v>
      </c>
      <c r="B60" s="433" t="s">
        <v>1273</v>
      </c>
      <c r="C60" s="469">
        <f>('[4]Bieu 57'!D60)/1000000</f>
        <v>525.45000000000005</v>
      </c>
      <c r="D60" s="469">
        <f>('[4]Bieu 57'!I60)/1000000</f>
        <v>525.45000000000005</v>
      </c>
      <c r="E60" s="345">
        <f>D60</f>
        <v>525.45000000000005</v>
      </c>
      <c r="F60" s="346"/>
      <c r="G60" s="346"/>
      <c r="H60" s="346"/>
      <c r="I60" s="346"/>
      <c r="J60" s="346"/>
      <c r="K60" s="346"/>
      <c r="L60" s="346"/>
      <c r="M60" s="346"/>
      <c r="N60" s="346"/>
      <c r="O60" s="346"/>
      <c r="P60" s="346"/>
      <c r="Q60" s="346"/>
      <c r="R60" s="346"/>
      <c r="S60" s="346"/>
      <c r="T60" s="346"/>
    </row>
    <row r="61" spans="1:20">
      <c r="A61" s="428">
        <v>2</v>
      </c>
      <c r="B61" s="433" t="s">
        <v>1274</v>
      </c>
      <c r="C61" s="469">
        <f>('[4]Bieu 57'!D61)/1000000</f>
        <v>13.425000000000001</v>
      </c>
      <c r="D61" s="469">
        <f>('[4]Bieu 57'!I61)/1000000</f>
        <v>13.425000000000001</v>
      </c>
      <c r="E61" s="345">
        <f t="shared" ref="E61:E84" si="8">D61</f>
        <v>13.425000000000001</v>
      </c>
      <c r="F61" s="346"/>
      <c r="G61" s="346"/>
      <c r="H61" s="346"/>
      <c r="I61" s="346"/>
      <c r="J61" s="346"/>
      <c r="K61" s="346"/>
      <c r="L61" s="346"/>
      <c r="M61" s="346"/>
      <c r="N61" s="346"/>
      <c r="O61" s="346"/>
      <c r="P61" s="346"/>
      <c r="Q61" s="346"/>
      <c r="R61" s="346"/>
      <c r="S61" s="346"/>
      <c r="T61" s="346"/>
    </row>
    <row r="62" spans="1:20">
      <c r="A62" s="428">
        <v>3</v>
      </c>
      <c r="B62" s="433" t="s">
        <v>1275</v>
      </c>
      <c r="C62" s="469">
        <f>('[4]Bieu 57'!D62)/1000000</f>
        <v>13.065</v>
      </c>
      <c r="D62" s="469">
        <f>('[4]Bieu 57'!I62)/1000000</f>
        <v>13.065</v>
      </c>
      <c r="E62" s="345">
        <f t="shared" si="8"/>
        <v>13.065</v>
      </c>
      <c r="F62" s="346"/>
      <c r="G62" s="346"/>
      <c r="H62" s="346"/>
      <c r="I62" s="346"/>
      <c r="J62" s="346"/>
      <c r="K62" s="346"/>
      <c r="L62" s="346"/>
      <c r="M62" s="346"/>
      <c r="N62" s="346"/>
      <c r="O62" s="346"/>
      <c r="P62" s="346"/>
      <c r="Q62" s="346"/>
      <c r="R62" s="346"/>
      <c r="S62" s="346"/>
      <c r="T62" s="346"/>
    </row>
    <row r="63" spans="1:20">
      <c r="A63" s="428">
        <v>4</v>
      </c>
      <c r="B63" s="433" t="s">
        <v>1276</v>
      </c>
      <c r="C63" s="469">
        <f>('[4]Bieu 57'!D63)/1000000</f>
        <v>14.275</v>
      </c>
      <c r="D63" s="469">
        <f>('[4]Bieu 57'!I63)/1000000</f>
        <v>14.275</v>
      </c>
      <c r="E63" s="345">
        <f t="shared" si="8"/>
        <v>14.275</v>
      </c>
      <c r="F63" s="346"/>
      <c r="G63" s="346"/>
      <c r="H63" s="346"/>
      <c r="I63" s="346"/>
      <c r="J63" s="346"/>
      <c r="K63" s="346"/>
      <c r="L63" s="346"/>
      <c r="M63" s="346"/>
      <c r="N63" s="346"/>
      <c r="O63" s="346"/>
      <c r="P63" s="346"/>
      <c r="Q63" s="346"/>
      <c r="R63" s="346"/>
      <c r="S63" s="346"/>
      <c r="T63" s="346"/>
    </row>
    <row r="64" spans="1:20">
      <c r="A64" s="428">
        <v>5</v>
      </c>
      <c r="B64" s="433" t="s">
        <v>1277</v>
      </c>
      <c r="C64" s="469">
        <f>('[4]Bieu 57'!D64)/1000000</f>
        <v>5.625</v>
      </c>
      <c r="D64" s="469">
        <f>('[4]Bieu 57'!I64)/1000000</f>
        <v>5.625</v>
      </c>
      <c r="E64" s="345">
        <f t="shared" si="8"/>
        <v>5.625</v>
      </c>
      <c r="F64" s="346"/>
      <c r="G64" s="346"/>
      <c r="H64" s="346"/>
      <c r="I64" s="346"/>
      <c r="J64" s="346"/>
      <c r="K64" s="346"/>
      <c r="L64" s="346"/>
      <c r="M64" s="346"/>
      <c r="N64" s="346"/>
      <c r="O64" s="346"/>
      <c r="P64" s="346"/>
      <c r="Q64" s="346"/>
      <c r="R64" s="346"/>
      <c r="S64" s="346"/>
      <c r="T64" s="346"/>
    </row>
    <row r="65" spans="1:20">
      <c r="A65" s="428">
        <v>6</v>
      </c>
      <c r="B65" s="433" t="s">
        <v>1278</v>
      </c>
      <c r="C65" s="469">
        <f>('[4]Bieu 57'!D65)/1000000</f>
        <v>2.6</v>
      </c>
      <c r="D65" s="469">
        <f>('[4]Bieu 57'!I65)/1000000</f>
        <v>2.6</v>
      </c>
      <c r="E65" s="345">
        <f t="shared" si="8"/>
        <v>2.6</v>
      </c>
      <c r="F65" s="346"/>
      <c r="G65" s="346"/>
      <c r="H65" s="346"/>
      <c r="I65" s="346"/>
      <c r="J65" s="346"/>
      <c r="K65" s="346"/>
      <c r="L65" s="346"/>
      <c r="M65" s="346"/>
      <c r="N65" s="346"/>
      <c r="O65" s="346"/>
      <c r="P65" s="346"/>
      <c r="Q65" s="346"/>
      <c r="R65" s="346"/>
      <c r="S65" s="346"/>
      <c r="T65" s="346"/>
    </row>
    <row r="66" spans="1:20">
      <c r="A66" s="428">
        <v>7</v>
      </c>
      <c r="B66" s="433" t="s">
        <v>1279</v>
      </c>
      <c r="C66" s="469">
        <f>('[4]Bieu 57'!D66)/1000000</f>
        <v>20.8</v>
      </c>
      <c r="D66" s="469">
        <f>('[4]Bieu 57'!I66)/1000000</f>
        <v>20.8</v>
      </c>
      <c r="E66" s="345">
        <f t="shared" si="8"/>
        <v>20.8</v>
      </c>
      <c r="F66" s="346"/>
      <c r="G66" s="346"/>
      <c r="H66" s="346"/>
      <c r="I66" s="346"/>
      <c r="J66" s="346"/>
      <c r="K66" s="346"/>
      <c r="L66" s="346"/>
      <c r="M66" s="346"/>
      <c r="N66" s="346"/>
      <c r="O66" s="346"/>
      <c r="P66" s="346"/>
      <c r="Q66" s="346"/>
      <c r="R66" s="346"/>
      <c r="S66" s="346"/>
      <c r="T66" s="346"/>
    </row>
    <row r="67" spans="1:20">
      <c r="A67" s="428">
        <v>8</v>
      </c>
      <c r="B67" s="433" t="s">
        <v>1280</v>
      </c>
      <c r="C67" s="469">
        <f>('[4]Bieu 57'!D67)/1000000</f>
        <v>11.25</v>
      </c>
      <c r="D67" s="469">
        <f>('[4]Bieu 57'!I67)/1000000</f>
        <v>11.25</v>
      </c>
      <c r="E67" s="345">
        <f t="shared" si="8"/>
        <v>11.25</v>
      </c>
      <c r="F67" s="346"/>
      <c r="G67" s="346"/>
      <c r="H67" s="346"/>
      <c r="I67" s="346"/>
      <c r="J67" s="346"/>
      <c r="K67" s="346"/>
      <c r="L67" s="346"/>
      <c r="M67" s="346"/>
      <c r="N67" s="346"/>
      <c r="O67" s="346"/>
      <c r="P67" s="346"/>
      <c r="Q67" s="346"/>
      <c r="R67" s="346"/>
      <c r="S67" s="346"/>
      <c r="T67" s="346"/>
    </row>
    <row r="68" spans="1:20">
      <c r="A68" s="428">
        <v>9</v>
      </c>
      <c r="B68" s="433" t="s">
        <v>1281</v>
      </c>
      <c r="C68" s="469">
        <f>('[4]Bieu 57'!D68)/1000000</f>
        <v>2261.873</v>
      </c>
      <c r="D68" s="469">
        <f>('[4]Bieu 57'!I68)/1000000</f>
        <v>2243.0230000000001</v>
      </c>
      <c r="E68" s="345">
        <f t="shared" si="8"/>
        <v>2243.0230000000001</v>
      </c>
      <c r="F68" s="346"/>
      <c r="G68" s="346"/>
      <c r="H68" s="346"/>
      <c r="I68" s="346"/>
      <c r="J68" s="346"/>
      <c r="K68" s="346"/>
      <c r="L68" s="346"/>
      <c r="M68" s="346"/>
      <c r="N68" s="346"/>
      <c r="O68" s="346"/>
      <c r="P68" s="346"/>
      <c r="Q68" s="346"/>
      <c r="R68" s="346"/>
      <c r="S68" s="346"/>
      <c r="T68" s="346"/>
    </row>
    <row r="69" spans="1:20">
      <c r="A69" s="428">
        <v>10</v>
      </c>
      <c r="B69" s="433" t="s">
        <v>1282</v>
      </c>
      <c r="C69" s="469">
        <f>('[4]Bieu 57'!D69)/1000000</f>
        <v>16.45</v>
      </c>
      <c r="D69" s="469">
        <f>('[4]Bieu 57'!I69)/1000000</f>
        <v>16.45</v>
      </c>
      <c r="E69" s="345">
        <f t="shared" si="8"/>
        <v>16.45</v>
      </c>
      <c r="F69" s="346"/>
      <c r="G69" s="346"/>
      <c r="H69" s="346"/>
      <c r="I69" s="346"/>
      <c r="J69" s="346"/>
      <c r="K69" s="346"/>
      <c r="L69" s="346"/>
      <c r="M69" s="346"/>
      <c r="N69" s="346"/>
      <c r="O69" s="346"/>
      <c r="P69" s="346"/>
      <c r="Q69" s="346"/>
      <c r="R69" s="346"/>
      <c r="S69" s="346"/>
      <c r="T69" s="346"/>
    </row>
    <row r="70" spans="1:20">
      <c r="A70" s="428">
        <v>11</v>
      </c>
      <c r="B70" s="433" t="s">
        <v>1283</v>
      </c>
      <c r="C70" s="469">
        <f>('[4]Bieu 57'!D70)/1000000</f>
        <v>246.12200000000001</v>
      </c>
      <c r="D70" s="469">
        <f>('[4]Bieu 57'!I70)/1000000</f>
        <v>246.12200000000001</v>
      </c>
      <c r="E70" s="345">
        <f t="shared" si="8"/>
        <v>246.12200000000001</v>
      </c>
      <c r="F70" s="346"/>
      <c r="G70" s="346"/>
      <c r="H70" s="346"/>
      <c r="I70" s="346"/>
      <c r="J70" s="346"/>
      <c r="K70" s="346"/>
      <c r="L70" s="346"/>
      <c r="M70" s="346"/>
      <c r="N70" s="346"/>
      <c r="O70" s="346"/>
      <c r="P70" s="346"/>
      <c r="Q70" s="346"/>
      <c r="R70" s="346"/>
      <c r="S70" s="346"/>
      <c r="T70" s="346"/>
    </row>
    <row r="71" spans="1:20">
      <c r="A71" s="428">
        <v>12</v>
      </c>
      <c r="B71" s="433" t="s">
        <v>1284</v>
      </c>
      <c r="C71" s="469">
        <f>('[4]Bieu 57'!D71)/1000000</f>
        <v>42.825000000000003</v>
      </c>
      <c r="D71" s="469">
        <f>('[4]Bieu 57'!I71)/1000000</f>
        <v>42.825000000000003</v>
      </c>
      <c r="E71" s="345">
        <f t="shared" si="8"/>
        <v>42.825000000000003</v>
      </c>
      <c r="F71" s="346"/>
      <c r="G71" s="346"/>
      <c r="H71" s="346"/>
      <c r="I71" s="346"/>
      <c r="J71" s="346"/>
      <c r="K71" s="346"/>
      <c r="L71" s="346"/>
      <c r="M71" s="346"/>
      <c r="N71" s="346"/>
      <c r="O71" s="346"/>
      <c r="P71" s="346"/>
      <c r="Q71" s="346"/>
      <c r="R71" s="346"/>
      <c r="S71" s="346"/>
      <c r="T71" s="346"/>
    </row>
    <row r="72" spans="1:20">
      <c r="A72" s="428">
        <v>13</v>
      </c>
      <c r="B72" s="433" t="s">
        <v>1285</v>
      </c>
      <c r="C72" s="469">
        <f>('[4]Bieu 57'!D72)/1000000</f>
        <v>106.97499999999999</v>
      </c>
      <c r="D72" s="469">
        <f>('[4]Bieu 57'!I72)/1000000</f>
        <v>106.97499999999999</v>
      </c>
      <c r="E72" s="345">
        <f t="shared" si="8"/>
        <v>106.97499999999999</v>
      </c>
      <c r="F72" s="346"/>
      <c r="G72" s="346"/>
      <c r="H72" s="346"/>
      <c r="I72" s="346"/>
      <c r="J72" s="346"/>
      <c r="K72" s="346"/>
      <c r="L72" s="346"/>
      <c r="M72" s="346"/>
      <c r="N72" s="346"/>
      <c r="O72" s="346"/>
      <c r="P72" s="346"/>
      <c r="Q72" s="346"/>
      <c r="R72" s="346"/>
      <c r="S72" s="346"/>
      <c r="T72" s="346"/>
    </row>
    <row r="73" spans="1:20">
      <c r="A73" s="428">
        <v>14</v>
      </c>
      <c r="B73" s="433" t="s">
        <v>1286</v>
      </c>
      <c r="C73" s="469">
        <f>('[4]Bieu 57'!D73)/1000000</f>
        <v>1019.889</v>
      </c>
      <c r="D73" s="469">
        <f>('[4]Bieu 57'!I73)/1000000</f>
        <v>1019.889</v>
      </c>
      <c r="E73" s="345">
        <f t="shared" si="8"/>
        <v>1019.889</v>
      </c>
      <c r="F73" s="346"/>
      <c r="G73" s="346"/>
      <c r="H73" s="346"/>
      <c r="I73" s="346"/>
      <c r="J73" s="346"/>
      <c r="K73" s="346"/>
      <c r="L73" s="346"/>
      <c r="M73" s="346"/>
      <c r="N73" s="346"/>
      <c r="O73" s="346"/>
      <c r="P73" s="346"/>
      <c r="Q73" s="346"/>
      <c r="R73" s="346"/>
      <c r="S73" s="346"/>
      <c r="T73" s="346"/>
    </row>
    <row r="74" spans="1:20">
      <c r="A74" s="428">
        <v>15</v>
      </c>
      <c r="B74" s="433" t="s">
        <v>1288</v>
      </c>
      <c r="C74" s="469">
        <f>('[4]Bieu 57'!D74)/1000000</f>
        <v>28.6</v>
      </c>
      <c r="D74" s="469">
        <f>('[4]Bieu 57'!I74)/1000000</f>
        <v>28.6</v>
      </c>
      <c r="E74" s="345">
        <f t="shared" si="8"/>
        <v>28.6</v>
      </c>
      <c r="F74" s="346"/>
      <c r="G74" s="346"/>
      <c r="H74" s="346"/>
      <c r="I74" s="346"/>
      <c r="J74" s="346"/>
      <c r="K74" s="346"/>
      <c r="L74" s="346"/>
      <c r="M74" s="346"/>
      <c r="N74" s="346"/>
      <c r="O74" s="346"/>
      <c r="P74" s="346"/>
      <c r="Q74" s="346"/>
      <c r="R74" s="346"/>
      <c r="S74" s="346"/>
      <c r="T74" s="346"/>
    </row>
    <row r="75" spans="1:20">
      <c r="A75" s="428">
        <v>16</v>
      </c>
      <c r="B75" s="433" t="s">
        <v>1290</v>
      </c>
      <c r="C75" s="469">
        <f>('[4]Bieu 57'!D75)/1000000</f>
        <v>11.25</v>
      </c>
      <c r="D75" s="469">
        <f>('[4]Bieu 57'!I75)/1000000</f>
        <v>11.25</v>
      </c>
      <c r="E75" s="345">
        <f t="shared" si="8"/>
        <v>11.25</v>
      </c>
      <c r="F75" s="346"/>
      <c r="G75" s="346"/>
      <c r="H75" s="346"/>
      <c r="I75" s="346"/>
      <c r="J75" s="346"/>
      <c r="K75" s="346"/>
      <c r="L75" s="346"/>
      <c r="M75" s="346"/>
      <c r="N75" s="346"/>
      <c r="O75" s="346"/>
      <c r="P75" s="346"/>
      <c r="Q75" s="346"/>
      <c r="R75" s="346"/>
      <c r="S75" s="346"/>
      <c r="T75" s="346"/>
    </row>
    <row r="76" spans="1:20">
      <c r="A76" s="428">
        <v>17</v>
      </c>
      <c r="B76" s="433" t="s">
        <v>1292</v>
      </c>
      <c r="C76" s="469">
        <f>('[4]Bieu 57'!D76)/1000000</f>
        <v>53.225000000000001</v>
      </c>
      <c r="D76" s="469">
        <f>('[4]Bieu 57'!I76)/1000000</f>
        <v>53.225000000000001</v>
      </c>
      <c r="E76" s="345">
        <f t="shared" si="8"/>
        <v>53.225000000000001</v>
      </c>
      <c r="F76" s="346"/>
      <c r="G76" s="346"/>
      <c r="H76" s="346"/>
      <c r="I76" s="346"/>
      <c r="J76" s="346"/>
      <c r="K76" s="346"/>
      <c r="L76" s="346"/>
      <c r="M76" s="346"/>
      <c r="N76" s="346"/>
      <c r="O76" s="346"/>
      <c r="P76" s="346"/>
      <c r="Q76" s="346"/>
      <c r="R76" s="346"/>
      <c r="S76" s="346"/>
      <c r="T76" s="346"/>
    </row>
    <row r="77" spans="1:20">
      <c r="A77" s="428">
        <v>18</v>
      </c>
      <c r="B77" s="433" t="s">
        <v>1294</v>
      </c>
      <c r="C77" s="469">
        <f>('[4]Bieu 57'!D77)/1000000</f>
        <v>106.02500000000001</v>
      </c>
      <c r="D77" s="469">
        <f>('[4]Bieu 57'!I77)/1000000</f>
        <v>106.02500000000001</v>
      </c>
      <c r="E77" s="345">
        <f t="shared" si="8"/>
        <v>106.02500000000001</v>
      </c>
      <c r="F77" s="346"/>
      <c r="G77" s="346"/>
      <c r="H77" s="346"/>
      <c r="I77" s="346"/>
      <c r="J77" s="346"/>
      <c r="K77" s="346"/>
      <c r="L77" s="346"/>
      <c r="M77" s="346"/>
      <c r="N77" s="346"/>
      <c r="O77" s="346"/>
      <c r="P77" s="346"/>
      <c r="Q77" s="346"/>
      <c r="R77" s="346"/>
      <c r="S77" s="346"/>
      <c r="T77" s="346"/>
    </row>
    <row r="78" spans="1:20">
      <c r="A78" s="428">
        <v>19</v>
      </c>
      <c r="B78" s="433" t="s">
        <v>1295</v>
      </c>
      <c r="C78" s="469">
        <f>('[4]Bieu 57'!D78)/1000000</f>
        <v>4386.4480000000003</v>
      </c>
      <c r="D78" s="469">
        <f>('[4]Bieu 57'!I78)/1000000</f>
        <v>4386.4480000000003</v>
      </c>
      <c r="E78" s="345">
        <f t="shared" si="8"/>
        <v>4386.4480000000003</v>
      </c>
      <c r="F78" s="346"/>
      <c r="G78" s="346"/>
      <c r="H78" s="346"/>
      <c r="I78" s="346"/>
      <c r="J78" s="346"/>
      <c r="K78" s="346"/>
      <c r="L78" s="346"/>
      <c r="M78" s="346"/>
      <c r="N78" s="346"/>
      <c r="O78" s="346"/>
      <c r="P78" s="346"/>
      <c r="Q78" s="346"/>
      <c r="R78" s="346"/>
      <c r="S78" s="346"/>
      <c r="T78" s="346"/>
    </row>
    <row r="79" spans="1:20">
      <c r="A79" s="428">
        <v>20</v>
      </c>
      <c r="B79" s="433" t="s">
        <v>1297</v>
      </c>
      <c r="C79" s="469">
        <f>('[4]Bieu 57'!D79)/1000000</f>
        <v>21.175000000000001</v>
      </c>
      <c r="D79" s="469">
        <f>('[4]Bieu 57'!I79)/1000000</f>
        <v>21.175000000000001</v>
      </c>
      <c r="E79" s="345">
        <f t="shared" si="8"/>
        <v>21.175000000000001</v>
      </c>
      <c r="F79" s="346"/>
      <c r="G79" s="346"/>
      <c r="H79" s="346"/>
      <c r="I79" s="346"/>
      <c r="J79" s="346"/>
      <c r="K79" s="346"/>
      <c r="L79" s="346"/>
      <c r="M79" s="346"/>
      <c r="N79" s="346"/>
      <c r="O79" s="346"/>
      <c r="P79" s="346"/>
      <c r="Q79" s="346"/>
      <c r="R79" s="346"/>
      <c r="S79" s="346"/>
      <c r="T79" s="346"/>
    </row>
    <row r="80" spans="1:20">
      <c r="A80" s="428">
        <v>21</v>
      </c>
      <c r="B80" s="433" t="s">
        <v>1299</v>
      </c>
      <c r="C80" s="469">
        <f>('[4]Bieu 57'!D80)/1000000</f>
        <v>53.966000000000001</v>
      </c>
      <c r="D80" s="469">
        <f>('[4]Bieu 57'!I80)/1000000</f>
        <v>53.966000000000001</v>
      </c>
      <c r="E80" s="345">
        <f t="shared" si="8"/>
        <v>53.966000000000001</v>
      </c>
      <c r="F80" s="346"/>
      <c r="G80" s="346"/>
      <c r="H80" s="346"/>
      <c r="I80" s="346"/>
      <c r="J80" s="346"/>
      <c r="K80" s="346"/>
      <c r="L80" s="346"/>
      <c r="M80" s="346"/>
      <c r="N80" s="346"/>
      <c r="O80" s="346"/>
      <c r="P80" s="346"/>
      <c r="Q80" s="346"/>
      <c r="R80" s="346"/>
      <c r="S80" s="346"/>
      <c r="T80" s="346"/>
    </row>
    <row r="81" spans="1:20">
      <c r="A81" s="428">
        <v>22</v>
      </c>
      <c r="B81" s="433" t="s">
        <v>1300</v>
      </c>
      <c r="C81" s="469">
        <f>('[4]Bieu 57'!D81)/1000000</f>
        <v>50.625</v>
      </c>
      <c r="D81" s="469">
        <f>('[4]Bieu 57'!I81)/1000000</f>
        <v>47.6</v>
      </c>
      <c r="E81" s="345">
        <f t="shared" si="8"/>
        <v>47.6</v>
      </c>
      <c r="F81" s="346"/>
      <c r="G81" s="346"/>
      <c r="H81" s="346"/>
      <c r="I81" s="346"/>
      <c r="J81" s="346"/>
      <c r="K81" s="346"/>
      <c r="L81" s="346"/>
      <c r="M81" s="346"/>
      <c r="N81" s="346"/>
      <c r="O81" s="346"/>
      <c r="P81" s="346"/>
      <c r="Q81" s="346"/>
      <c r="R81" s="346"/>
      <c r="S81" s="346"/>
      <c r="T81" s="346"/>
    </row>
    <row r="82" spans="1:20">
      <c r="A82" s="428">
        <v>23</v>
      </c>
      <c r="B82" s="433" t="s">
        <v>1301</v>
      </c>
      <c r="C82" s="469">
        <f>('[4]Bieu 57'!D82)/1000000</f>
        <v>33.325000000000003</v>
      </c>
      <c r="D82" s="469">
        <f>('[4]Bieu 57'!I82)/1000000</f>
        <v>33.325000000000003</v>
      </c>
      <c r="E82" s="345">
        <f t="shared" si="8"/>
        <v>33.325000000000003</v>
      </c>
      <c r="F82" s="346"/>
      <c r="G82" s="346"/>
      <c r="H82" s="346"/>
      <c r="I82" s="346"/>
      <c r="J82" s="346"/>
      <c r="K82" s="346"/>
      <c r="L82" s="346"/>
      <c r="M82" s="346"/>
      <c r="N82" s="346"/>
      <c r="O82" s="346"/>
      <c r="P82" s="346"/>
      <c r="Q82" s="346"/>
      <c r="R82" s="346"/>
      <c r="S82" s="346"/>
      <c r="T82" s="346"/>
    </row>
    <row r="83" spans="1:20">
      <c r="A83" s="428">
        <v>24</v>
      </c>
      <c r="B83" s="430" t="s">
        <v>1287</v>
      </c>
      <c r="C83" s="471">
        <f>'[4]Bieu 57'!D83</f>
        <v>0</v>
      </c>
      <c r="D83" s="469">
        <f>('[4]Bieu 57'!I83)/1000000</f>
        <v>0</v>
      </c>
      <c r="E83" s="345">
        <f t="shared" si="8"/>
        <v>0</v>
      </c>
      <c r="F83" s="346"/>
      <c r="G83" s="346"/>
      <c r="H83" s="346"/>
      <c r="I83" s="346"/>
      <c r="J83" s="346"/>
      <c r="K83" s="346"/>
      <c r="L83" s="346"/>
      <c r="M83" s="346"/>
      <c r="N83" s="346"/>
      <c r="O83" s="346"/>
      <c r="P83" s="346"/>
      <c r="Q83" s="346"/>
      <c r="R83" s="346"/>
      <c r="S83" s="346"/>
      <c r="T83" s="346"/>
    </row>
    <row r="84" spans="1:20">
      <c r="A84" s="428"/>
      <c r="B84" s="430"/>
      <c r="C84" s="471">
        <f>'[4]Bieu 57'!D84</f>
        <v>0</v>
      </c>
      <c r="D84" s="469">
        <f>('[4]Bieu 57'!I84)/1000000</f>
        <v>0</v>
      </c>
      <c r="E84" s="345">
        <f t="shared" si="8"/>
        <v>0</v>
      </c>
      <c r="F84" s="346"/>
      <c r="G84" s="346"/>
      <c r="H84" s="346"/>
      <c r="I84" s="346"/>
      <c r="J84" s="346"/>
      <c r="K84" s="346"/>
      <c r="L84" s="346"/>
      <c r="M84" s="346"/>
      <c r="N84" s="346"/>
      <c r="O84" s="346"/>
      <c r="P84" s="346"/>
      <c r="Q84" s="346"/>
      <c r="R84" s="346"/>
      <c r="S84" s="346"/>
      <c r="T84" s="346"/>
    </row>
    <row r="85" spans="1:20" s="421" customFormat="1" ht="25.5">
      <c r="A85" s="434" t="s">
        <v>1383</v>
      </c>
      <c r="B85" s="432" t="s">
        <v>1384</v>
      </c>
      <c r="C85" s="468">
        <f>SUM(C86:C116)</f>
        <v>5486.6669999999995</v>
      </c>
      <c r="D85" s="468">
        <f>SUM(D86:D116)</f>
        <v>5478.3870000000006</v>
      </c>
      <c r="E85" s="468">
        <f t="shared" ref="E85:T85" si="9">SUM(E86:E116)</f>
        <v>5478.3870000000006</v>
      </c>
      <c r="F85" s="468">
        <f t="shared" si="9"/>
        <v>0</v>
      </c>
      <c r="G85" s="468">
        <f t="shared" si="9"/>
        <v>0</v>
      </c>
      <c r="H85" s="468">
        <f t="shared" si="9"/>
        <v>0</v>
      </c>
      <c r="I85" s="468">
        <f t="shared" si="9"/>
        <v>0</v>
      </c>
      <c r="J85" s="468">
        <f t="shared" si="9"/>
        <v>0</v>
      </c>
      <c r="K85" s="468">
        <f t="shared" si="9"/>
        <v>0</v>
      </c>
      <c r="L85" s="468">
        <f t="shared" si="9"/>
        <v>0</v>
      </c>
      <c r="M85" s="468">
        <f t="shared" si="9"/>
        <v>0</v>
      </c>
      <c r="N85" s="468">
        <f t="shared" si="9"/>
        <v>0</v>
      </c>
      <c r="O85" s="468">
        <f t="shared" si="9"/>
        <v>0</v>
      </c>
      <c r="P85" s="468">
        <f t="shared" si="9"/>
        <v>0</v>
      </c>
      <c r="Q85" s="468">
        <f t="shared" si="9"/>
        <v>0</v>
      </c>
      <c r="R85" s="468">
        <f t="shared" si="9"/>
        <v>0</v>
      </c>
      <c r="S85" s="468">
        <f t="shared" si="9"/>
        <v>0</v>
      </c>
      <c r="T85" s="468">
        <f t="shared" si="9"/>
        <v>0</v>
      </c>
    </row>
    <row r="86" spans="1:20">
      <c r="A86" s="428">
        <v>1</v>
      </c>
      <c r="B86" s="435" t="s">
        <v>1273</v>
      </c>
      <c r="C86" s="469">
        <f>('[4]Bieu 57'!D86)/1000000</f>
        <v>338.98599999999999</v>
      </c>
      <c r="D86" s="469">
        <f>('[4]Bieu 57'!I86)/1000000</f>
        <v>338.98599999999999</v>
      </c>
      <c r="E86" s="345">
        <f>D86</f>
        <v>338.98599999999999</v>
      </c>
      <c r="F86" s="346"/>
      <c r="G86" s="346"/>
      <c r="H86" s="346"/>
      <c r="I86" s="346"/>
      <c r="J86" s="346"/>
      <c r="K86" s="346"/>
      <c r="L86" s="346"/>
      <c r="M86" s="346"/>
      <c r="N86" s="346"/>
      <c r="O86" s="346"/>
      <c r="P86" s="346"/>
      <c r="Q86" s="346"/>
      <c r="R86" s="346"/>
      <c r="S86" s="346"/>
      <c r="T86" s="346"/>
    </row>
    <row r="87" spans="1:20">
      <c r="A87" s="428">
        <v>2</v>
      </c>
      <c r="B87" s="435" t="s">
        <v>1274</v>
      </c>
      <c r="C87" s="469">
        <f>('[4]Bieu 57'!D87)/1000000</f>
        <v>63.984999999999999</v>
      </c>
      <c r="D87" s="469">
        <f>('[4]Bieu 57'!I87)/1000000</f>
        <v>63.984999999999999</v>
      </c>
      <c r="E87" s="345">
        <f t="shared" ref="E87:E116" si="10">D87</f>
        <v>63.984999999999999</v>
      </c>
      <c r="F87" s="346"/>
      <c r="G87" s="346"/>
      <c r="H87" s="346"/>
      <c r="I87" s="346"/>
      <c r="J87" s="346"/>
      <c r="K87" s="346"/>
      <c r="L87" s="346"/>
      <c r="M87" s="346"/>
      <c r="N87" s="346"/>
      <c r="O87" s="346"/>
      <c r="P87" s="346"/>
      <c r="Q87" s="346"/>
      <c r="R87" s="346"/>
      <c r="S87" s="346"/>
      <c r="T87" s="346"/>
    </row>
    <row r="88" spans="1:20">
      <c r="A88" s="428">
        <v>3</v>
      </c>
      <c r="B88" s="435" t="s">
        <v>1275</v>
      </c>
      <c r="C88" s="469">
        <f>('[4]Bieu 57'!D88)/1000000</f>
        <v>211.52</v>
      </c>
      <c r="D88" s="469">
        <f>('[4]Bieu 57'!I88)/1000000</f>
        <v>211.52</v>
      </c>
      <c r="E88" s="345">
        <f t="shared" si="10"/>
        <v>211.52</v>
      </c>
      <c r="F88" s="346"/>
      <c r="G88" s="346"/>
      <c r="H88" s="346"/>
      <c r="I88" s="346"/>
      <c r="J88" s="346"/>
      <c r="K88" s="346"/>
      <c r="L88" s="346"/>
      <c r="M88" s="346"/>
      <c r="N88" s="346"/>
      <c r="O88" s="346"/>
      <c r="P88" s="346"/>
      <c r="Q88" s="346"/>
      <c r="R88" s="346"/>
      <c r="S88" s="346"/>
      <c r="T88" s="346"/>
    </row>
    <row r="89" spans="1:20">
      <c r="A89" s="428">
        <v>4</v>
      </c>
      <c r="B89" s="435" t="s">
        <v>1276</v>
      </c>
      <c r="C89" s="469">
        <f>('[4]Bieu 57'!D89)/1000000</f>
        <v>122.355</v>
      </c>
      <c r="D89" s="469">
        <f>('[4]Bieu 57'!I89)/1000000</f>
        <v>115.955</v>
      </c>
      <c r="E89" s="345">
        <f t="shared" si="10"/>
        <v>115.955</v>
      </c>
      <c r="F89" s="346"/>
      <c r="G89" s="346"/>
      <c r="H89" s="346"/>
      <c r="I89" s="346"/>
      <c r="J89" s="346"/>
      <c r="K89" s="346"/>
      <c r="L89" s="346"/>
      <c r="M89" s="346"/>
      <c r="N89" s="346"/>
      <c r="O89" s="346"/>
      <c r="P89" s="346"/>
      <c r="Q89" s="346"/>
      <c r="R89" s="346"/>
      <c r="S89" s="346"/>
      <c r="T89" s="346"/>
    </row>
    <row r="90" spans="1:20">
      <c r="A90" s="428">
        <v>5</v>
      </c>
      <c r="B90" s="435" t="s">
        <v>1277</v>
      </c>
      <c r="C90" s="469">
        <f>('[4]Bieu 57'!D90)/1000000</f>
        <v>229.56</v>
      </c>
      <c r="D90" s="469">
        <f>('[4]Bieu 57'!I90)/1000000</f>
        <v>229.56</v>
      </c>
      <c r="E90" s="345">
        <f t="shared" si="10"/>
        <v>229.56</v>
      </c>
      <c r="F90" s="346"/>
      <c r="G90" s="346"/>
      <c r="H90" s="346"/>
      <c r="I90" s="346"/>
      <c r="J90" s="346"/>
      <c r="K90" s="346"/>
      <c r="L90" s="346"/>
      <c r="M90" s="346"/>
      <c r="N90" s="346"/>
      <c r="O90" s="346"/>
      <c r="P90" s="346"/>
      <c r="Q90" s="346"/>
      <c r="R90" s="346"/>
      <c r="S90" s="346"/>
      <c r="T90" s="346"/>
    </row>
    <row r="91" spans="1:20">
      <c r="A91" s="428">
        <v>6</v>
      </c>
      <c r="B91" s="435" t="s">
        <v>1278</v>
      </c>
      <c r="C91" s="469">
        <f>('[4]Bieu 57'!D91)/1000000</f>
        <v>53.44</v>
      </c>
      <c r="D91" s="469">
        <f>('[4]Bieu 57'!I91)/1000000</f>
        <v>53.44</v>
      </c>
      <c r="E91" s="345">
        <f t="shared" si="10"/>
        <v>53.44</v>
      </c>
      <c r="F91" s="346"/>
      <c r="G91" s="346"/>
      <c r="H91" s="346"/>
      <c r="I91" s="346"/>
      <c r="J91" s="346"/>
      <c r="K91" s="346"/>
      <c r="L91" s="346"/>
      <c r="M91" s="346"/>
      <c r="N91" s="346"/>
      <c r="O91" s="346"/>
      <c r="P91" s="346"/>
      <c r="Q91" s="346"/>
      <c r="R91" s="346"/>
      <c r="S91" s="346"/>
      <c r="T91" s="346"/>
    </row>
    <row r="92" spans="1:20">
      <c r="A92" s="428">
        <v>7</v>
      </c>
      <c r="B92" s="435" t="s">
        <v>1279</v>
      </c>
      <c r="C92" s="469">
        <f>('[4]Bieu 57'!D92)/1000000</f>
        <v>62.884999999999998</v>
      </c>
      <c r="D92" s="469">
        <f>('[4]Bieu 57'!I92)/1000000</f>
        <v>62.884999999999998</v>
      </c>
      <c r="E92" s="345">
        <f t="shared" si="10"/>
        <v>62.884999999999998</v>
      </c>
      <c r="F92" s="346"/>
      <c r="G92" s="346"/>
      <c r="H92" s="346"/>
      <c r="I92" s="346"/>
      <c r="J92" s="346"/>
      <c r="K92" s="346"/>
      <c r="L92" s="346"/>
      <c r="M92" s="346"/>
      <c r="N92" s="346"/>
      <c r="O92" s="346"/>
      <c r="P92" s="346"/>
      <c r="Q92" s="346"/>
      <c r="R92" s="346"/>
      <c r="S92" s="346"/>
      <c r="T92" s="346"/>
    </row>
    <row r="93" spans="1:20">
      <c r="A93" s="428">
        <v>8</v>
      </c>
      <c r="B93" s="435" t="s">
        <v>1280</v>
      </c>
      <c r="C93" s="469">
        <f>('[4]Bieu 57'!D93)/1000000</f>
        <v>86.174999999999997</v>
      </c>
      <c r="D93" s="469">
        <f>('[4]Bieu 57'!I93)/1000000</f>
        <v>86.174999999999997</v>
      </c>
      <c r="E93" s="345">
        <f t="shared" si="10"/>
        <v>86.174999999999997</v>
      </c>
      <c r="F93" s="346"/>
      <c r="G93" s="346"/>
      <c r="H93" s="346"/>
      <c r="I93" s="346"/>
      <c r="J93" s="346"/>
      <c r="K93" s="346"/>
      <c r="L93" s="346"/>
      <c r="M93" s="346"/>
      <c r="N93" s="346"/>
      <c r="O93" s="346"/>
      <c r="P93" s="346"/>
      <c r="Q93" s="346"/>
      <c r="R93" s="346"/>
      <c r="S93" s="346"/>
      <c r="T93" s="346"/>
    </row>
    <row r="94" spans="1:20">
      <c r="A94" s="428">
        <v>9</v>
      </c>
      <c r="B94" s="435" t="s">
        <v>1281</v>
      </c>
      <c r="C94" s="469">
        <f>('[4]Bieu 57'!D94)/1000000</f>
        <v>546.94399999999996</v>
      </c>
      <c r="D94" s="469">
        <f>('[4]Bieu 57'!I94)/1000000</f>
        <v>545.34400000000005</v>
      </c>
      <c r="E94" s="345">
        <f t="shared" si="10"/>
        <v>545.34400000000005</v>
      </c>
      <c r="F94" s="346"/>
      <c r="G94" s="346"/>
      <c r="H94" s="346"/>
      <c r="I94" s="346"/>
      <c r="J94" s="346"/>
      <c r="K94" s="346"/>
      <c r="L94" s="346"/>
      <c r="M94" s="346"/>
      <c r="N94" s="346"/>
      <c r="O94" s="346"/>
      <c r="P94" s="346"/>
      <c r="Q94" s="346"/>
      <c r="R94" s="346"/>
      <c r="S94" s="346"/>
      <c r="T94" s="346"/>
    </row>
    <row r="95" spans="1:20">
      <c r="A95" s="428">
        <v>10</v>
      </c>
      <c r="B95" s="435" t="s">
        <v>1282</v>
      </c>
      <c r="C95" s="469">
        <f>('[4]Bieu 57'!D95)/1000000</f>
        <v>167.48</v>
      </c>
      <c r="D95" s="469">
        <f>('[4]Bieu 57'!I95)/1000000</f>
        <v>167.48</v>
      </c>
      <c r="E95" s="345">
        <f t="shared" si="10"/>
        <v>167.48</v>
      </c>
      <c r="F95" s="346"/>
      <c r="G95" s="346"/>
      <c r="H95" s="346"/>
      <c r="I95" s="346"/>
      <c r="J95" s="346"/>
      <c r="K95" s="346"/>
      <c r="L95" s="346"/>
      <c r="M95" s="346"/>
      <c r="N95" s="346"/>
      <c r="O95" s="346"/>
      <c r="P95" s="346"/>
      <c r="Q95" s="346"/>
      <c r="R95" s="346"/>
      <c r="S95" s="346"/>
      <c r="T95" s="346"/>
    </row>
    <row r="96" spans="1:20">
      <c r="A96" s="428">
        <v>11</v>
      </c>
      <c r="B96" s="435" t="s">
        <v>1283</v>
      </c>
      <c r="C96" s="469">
        <f>('[4]Bieu 57'!D96)/1000000</f>
        <v>333.06</v>
      </c>
      <c r="D96" s="469">
        <f>('[4]Bieu 57'!I96)/1000000</f>
        <v>333.06</v>
      </c>
      <c r="E96" s="345">
        <f t="shared" si="10"/>
        <v>333.06</v>
      </c>
      <c r="F96" s="346"/>
      <c r="G96" s="346"/>
      <c r="H96" s="346"/>
      <c r="I96" s="346"/>
      <c r="J96" s="346"/>
      <c r="K96" s="346"/>
      <c r="L96" s="346"/>
      <c r="M96" s="346"/>
      <c r="N96" s="346"/>
      <c r="O96" s="346"/>
      <c r="P96" s="346"/>
      <c r="Q96" s="346"/>
      <c r="R96" s="346"/>
      <c r="S96" s="346"/>
      <c r="T96" s="346"/>
    </row>
    <row r="97" spans="1:20">
      <c r="A97" s="428">
        <v>12</v>
      </c>
      <c r="B97" s="435" t="s">
        <v>1284</v>
      </c>
      <c r="C97" s="469">
        <f>('[4]Bieu 57'!D97)/1000000</f>
        <v>212.04</v>
      </c>
      <c r="D97" s="469">
        <f>('[4]Bieu 57'!I97)/1000000</f>
        <v>211.76</v>
      </c>
      <c r="E97" s="345">
        <f t="shared" si="10"/>
        <v>211.76</v>
      </c>
      <c r="F97" s="346"/>
      <c r="G97" s="346"/>
      <c r="H97" s="346"/>
      <c r="I97" s="346"/>
      <c r="J97" s="346"/>
      <c r="K97" s="346"/>
      <c r="L97" s="346"/>
      <c r="M97" s="346"/>
      <c r="N97" s="346"/>
      <c r="O97" s="346"/>
      <c r="P97" s="346"/>
      <c r="Q97" s="346"/>
      <c r="R97" s="346"/>
      <c r="S97" s="346"/>
      <c r="T97" s="346"/>
    </row>
    <row r="98" spans="1:20">
      <c r="A98" s="428">
        <v>13</v>
      </c>
      <c r="B98" s="435" t="s">
        <v>1285</v>
      </c>
      <c r="C98" s="469">
        <f>('[4]Bieu 57'!D98)/1000000</f>
        <v>166.03</v>
      </c>
      <c r="D98" s="469">
        <f>('[4]Bieu 57'!I98)/1000000</f>
        <v>166.03</v>
      </c>
      <c r="E98" s="345">
        <f t="shared" si="10"/>
        <v>166.03</v>
      </c>
      <c r="F98" s="346"/>
      <c r="G98" s="346"/>
      <c r="H98" s="346"/>
      <c r="I98" s="346"/>
      <c r="J98" s="346"/>
      <c r="K98" s="346"/>
      <c r="L98" s="346"/>
      <c r="M98" s="346"/>
      <c r="N98" s="346"/>
      <c r="O98" s="346"/>
      <c r="P98" s="346"/>
      <c r="Q98" s="346"/>
      <c r="R98" s="346"/>
      <c r="S98" s="346"/>
      <c r="T98" s="346"/>
    </row>
    <row r="99" spans="1:20">
      <c r="A99" s="428">
        <v>14</v>
      </c>
      <c r="B99" s="435" t="s">
        <v>1286</v>
      </c>
      <c r="C99" s="469">
        <f>('[4]Bieu 57'!D99)/1000000</f>
        <v>250.75399999999999</v>
      </c>
      <c r="D99" s="469">
        <f>('[4]Bieu 57'!I99)/1000000</f>
        <v>250.75399999999999</v>
      </c>
      <c r="E99" s="345">
        <f t="shared" si="10"/>
        <v>250.75399999999999</v>
      </c>
      <c r="F99" s="346"/>
      <c r="G99" s="346"/>
      <c r="H99" s="346"/>
      <c r="I99" s="346"/>
      <c r="J99" s="346"/>
      <c r="K99" s="346"/>
      <c r="L99" s="346"/>
      <c r="M99" s="346"/>
      <c r="N99" s="346"/>
      <c r="O99" s="346"/>
      <c r="P99" s="346"/>
      <c r="Q99" s="346"/>
      <c r="R99" s="346"/>
      <c r="S99" s="346"/>
      <c r="T99" s="346"/>
    </row>
    <row r="100" spans="1:20">
      <c r="A100" s="428">
        <v>15</v>
      </c>
      <c r="B100" s="435" t="s">
        <v>1287</v>
      </c>
      <c r="C100" s="469">
        <f>('[4]Bieu 57'!D100)/1000000</f>
        <v>47.613999999999997</v>
      </c>
      <c r="D100" s="469">
        <f>('[4]Bieu 57'!I100)/1000000</f>
        <v>47.613999999999997</v>
      </c>
      <c r="E100" s="345">
        <f t="shared" si="10"/>
        <v>47.613999999999997</v>
      </c>
      <c r="F100" s="346"/>
      <c r="G100" s="346"/>
      <c r="H100" s="346"/>
      <c r="I100" s="346"/>
      <c r="J100" s="346"/>
      <c r="K100" s="346"/>
      <c r="L100" s="346"/>
      <c r="M100" s="346"/>
      <c r="N100" s="346"/>
      <c r="O100" s="346"/>
      <c r="P100" s="346"/>
      <c r="Q100" s="346"/>
      <c r="R100" s="346"/>
      <c r="S100" s="346"/>
      <c r="T100" s="346"/>
    </row>
    <row r="101" spans="1:20">
      <c r="A101" s="428">
        <v>16</v>
      </c>
      <c r="B101" s="435" t="s">
        <v>1288</v>
      </c>
      <c r="C101" s="469">
        <f>('[4]Bieu 57'!D101)/1000000</f>
        <v>300.86</v>
      </c>
      <c r="D101" s="469">
        <f>('[4]Bieu 57'!I101)/1000000</f>
        <v>300.86</v>
      </c>
      <c r="E101" s="345">
        <f t="shared" si="10"/>
        <v>300.86</v>
      </c>
      <c r="F101" s="346"/>
      <c r="G101" s="346"/>
      <c r="H101" s="346"/>
      <c r="I101" s="346"/>
      <c r="J101" s="346"/>
      <c r="K101" s="346"/>
      <c r="L101" s="346"/>
      <c r="M101" s="346"/>
      <c r="N101" s="346"/>
      <c r="O101" s="346"/>
      <c r="P101" s="346"/>
      <c r="Q101" s="346"/>
      <c r="R101" s="346"/>
      <c r="S101" s="346"/>
      <c r="T101" s="346"/>
    </row>
    <row r="102" spans="1:20">
      <c r="A102" s="428">
        <v>17</v>
      </c>
      <c r="B102" s="435" t="s">
        <v>1289</v>
      </c>
      <c r="C102" s="469">
        <f>('[4]Bieu 57'!D102)/1000000</f>
        <v>26.42</v>
      </c>
      <c r="D102" s="469">
        <f>('[4]Bieu 57'!I102)/1000000</f>
        <v>26.42</v>
      </c>
      <c r="E102" s="345">
        <f t="shared" si="10"/>
        <v>26.42</v>
      </c>
      <c r="F102" s="346"/>
      <c r="G102" s="346"/>
      <c r="H102" s="346"/>
      <c r="I102" s="346"/>
      <c r="J102" s="346"/>
      <c r="K102" s="346"/>
      <c r="L102" s="346"/>
      <c r="M102" s="346"/>
      <c r="N102" s="346"/>
      <c r="O102" s="346"/>
      <c r="P102" s="346"/>
      <c r="Q102" s="346"/>
      <c r="R102" s="346"/>
      <c r="S102" s="346"/>
      <c r="T102" s="346"/>
    </row>
    <row r="103" spans="1:20">
      <c r="A103" s="428">
        <v>18</v>
      </c>
      <c r="B103" s="435" t="s">
        <v>1290</v>
      </c>
      <c r="C103" s="469">
        <f>('[4]Bieu 57'!D103)/1000000</f>
        <v>118.61499999999999</v>
      </c>
      <c r="D103" s="469">
        <f>('[4]Bieu 57'!I103)/1000000</f>
        <v>118.61499999999999</v>
      </c>
      <c r="E103" s="345">
        <f t="shared" si="10"/>
        <v>118.61499999999999</v>
      </c>
      <c r="F103" s="346"/>
      <c r="G103" s="346"/>
      <c r="H103" s="346"/>
      <c r="I103" s="346"/>
      <c r="J103" s="346"/>
      <c r="K103" s="346"/>
      <c r="L103" s="346"/>
      <c r="M103" s="346"/>
      <c r="N103" s="346"/>
      <c r="O103" s="346"/>
      <c r="P103" s="346"/>
      <c r="Q103" s="346"/>
      <c r="R103" s="346"/>
      <c r="S103" s="346"/>
      <c r="T103" s="346"/>
    </row>
    <row r="104" spans="1:20">
      <c r="A104" s="428">
        <v>19</v>
      </c>
      <c r="B104" s="435" t="s">
        <v>1291</v>
      </c>
      <c r="C104" s="469">
        <f>('[4]Bieu 57'!D104)/1000000</f>
        <v>36.119999999999997</v>
      </c>
      <c r="D104" s="469">
        <f>('[4]Bieu 57'!I104)/1000000</f>
        <v>36.119999999999997</v>
      </c>
      <c r="E104" s="345">
        <f t="shared" si="10"/>
        <v>36.119999999999997</v>
      </c>
      <c r="F104" s="346"/>
      <c r="G104" s="346"/>
      <c r="H104" s="346"/>
      <c r="I104" s="346"/>
      <c r="J104" s="346"/>
      <c r="K104" s="346"/>
      <c r="L104" s="346"/>
      <c r="M104" s="346"/>
      <c r="N104" s="346"/>
      <c r="O104" s="346"/>
      <c r="P104" s="346"/>
      <c r="Q104" s="346"/>
      <c r="R104" s="346"/>
      <c r="S104" s="346"/>
      <c r="T104" s="346"/>
    </row>
    <row r="105" spans="1:20">
      <c r="A105" s="428">
        <v>20</v>
      </c>
      <c r="B105" s="435" t="s">
        <v>1292</v>
      </c>
      <c r="C105" s="469">
        <f>('[4]Bieu 57'!D105)/1000000</f>
        <v>151.78</v>
      </c>
      <c r="D105" s="469">
        <f>('[4]Bieu 57'!I105)/1000000</f>
        <v>151.78</v>
      </c>
      <c r="E105" s="345">
        <f t="shared" si="10"/>
        <v>151.78</v>
      </c>
      <c r="F105" s="346"/>
      <c r="G105" s="346"/>
      <c r="H105" s="346"/>
      <c r="I105" s="346"/>
      <c r="J105" s="346"/>
      <c r="K105" s="346"/>
      <c r="L105" s="346"/>
      <c r="M105" s="346"/>
      <c r="N105" s="346"/>
      <c r="O105" s="346"/>
      <c r="P105" s="346"/>
      <c r="Q105" s="346"/>
      <c r="R105" s="346"/>
      <c r="S105" s="346"/>
      <c r="T105" s="346"/>
    </row>
    <row r="106" spans="1:20">
      <c r="A106" s="428">
        <v>21</v>
      </c>
      <c r="B106" s="435" t="s">
        <v>1293</v>
      </c>
      <c r="C106" s="469">
        <f>('[4]Bieu 57'!D106)/1000000</f>
        <v>180.08</v>
      </c>
      <c r="D106" s="469">
        <f>('[4]Bieu 57'!I106)/1000000</f>
        <v>180.08</v>
      </c>
      <c r="E106" s="345">
        <f t="shared" si="10"/>
        <v>180.08</v>
      </c>
      <c r="F106" s="346"/>
      <c r="G106" s="346"/>
      <c r="H106" s="346"/>
      <c r="I106" s="346"/>
      <c r="J106" s="346"/>
      <c r="K106" s="346"/>
      <c r="L106" s="346"/>
      <c r="M106" s="346"/>
      <c r="N106" s="346"/>
      <c r="O106" s="346"/>
      <c r="P106" s="346"/>
      <c r="Q106" s="346"/>
      <c r="R106" s="346"/>
      <c r="S106" s="346"/>
      <c r="T106" s="346"/>
    </row>
    <row r="107" spans="1:20">
      <c r="A107" s="428">
        <v>22</v>
      </c>
      <c r="B107" s="435" t="s">
        <v>1294</v>
      </c>
      <c r="C107" s="469">
        <f>('[4]Bieu 57'!D107)/1000000</f>
        <v>93.29</v>
      </c>
      <c r="D107" s="469">
        <f>('[4]Bieu 57'!I107)/1000000</f>
        <v>93.29</v>
      </c>
      <c r="E107" s="345">
        <f t="shared" si="10"/>
        <v>93.29</v>
      </c>
      <c r="F107" s="346"/>
      <c r="G107" s="346"/>
      <c r="H107" s="346"/>
      <c r="I107" s="346"/>
      <c r="J107" s="346"/>
      <c r="K107" s="346"/>
      <c r="L107" s="346"/>
      <c r="M107" s="346"/>
      <c r="N107" s="346"/>
      <c r="O107" s="346"/>
      <c r="P107" s="346"/>
      <c r="Q107" s="346"/>
      <c r="R107" s="346"/>
      <c r="S107" s="346"/>
      <c r="T107" s="346"/>
    </row>
    <row r="108" spans="1:20">
      <c r="A108" s="428">
        <v>23</v>
      </c>
      <c r="B108" s="435" t="s">
        <v>1295</v>
      </c>
      <c r="C108" s="469">
        <f>('[4]Bieu 57'!D108)/1000000</f>
        <v>771.399</v>
      </c>
      <c r="D108" s="469">
        <f>('[4]Bieu 57'!I108)/1000000</f>
        <v>771.399</v>
      </c>
      <c r="E108" s="345">
        <f t="shared" si="10"/>
        <v>771.399</v>
      </c>
      <c r="F108" s="346"/>
      <c r="G108" s="346"/>
      <c r="H108" s="346"/>
      <c r="I108" s="346"/>
      <c r="J108" s="346"/>
      <c r="K108" s="346"/>
      <c r="L108" s="346"/>
      <c r="M108" s="346"/>
      <c r="N108" s="346"/>
      <c r="O108" s="346"/>
      <c r="P108" s="346"/>
      <c r="Q108" s="346"/>
      <c r="R108" s="346"/>
      <c r="S108" s="346"/>
      <c r="T108" s="346"/>
    </row>
    <row r="109" spans="1:20">
      <c r="A109" s="428">
        <v>24</v>
      </c>
      <c r="B109" s="435" t="s">
        <v>1296</v>
      </c>
      <c r="C109" s="469">
        <f>('[4]Bieu 57'!D109)/1000000</f>
        <v>75.97</v>
      </c>
      <c r="D109" s="469">
        <f>('[4]Bieu 57'!I109)/1000000</f>
        <v>75.97</v>
      </c>
      <c r="E109" s="345">
        <f t="shared" si="10"/>
        <v>75.97</v>
      </c>
      <c r="F109" s="346"/>
      <c r="G109" s="346"/>
      <c r="H109" s="346"/>
      <c r="I109" s="346"/>
      <c r="J109" s="346"/>
      <c r="K109" s="346"/>
      <c r="L109" s="346"/>
      <c r="M109" s="346"/>
      <c r="N109" s="346"/>
      <c r="O109" s="346"/>
      <c r="P109" s="346"/>
      <c r="Q109" s="346"/>
      <c r="R109" s="346"/>
      <c r="S109" s="346"/>
      <c r="T109" s="346"/>
    </row>
    <row r="110" spans="1:20">
      <c r="A110" s="428">
        <v>25</v>
      </c>
      <c r="B110" s="435" t="s">
        <v>1297</v>
      </c>
      <c r="C110" s="469">
        <f>('[4]Bieu 57'!D110)/1000000</f>
        <v>58.575000000000003</v>
      </c>
      <c r="D110" s="469">
        <f>('[4]Bieu 57'!I110)/1000000</f>
        <v>58.575000000000003</v>
      </c>
      <c r="E110" s="345">
        <f t="shared" si="10"/>
        <v>58.575000000000003</v>
      </c>
      <c r="F110" s="346"/>
      <c r="G110" s="346"/>
      <c r="H110" s="346"/>
      <c r="I110" s="346"/>
      <c r="J110" s="346"/>
      <c r="K110" s="346"/>
      <c r="L110" s="346"/>
      <c r="M110" s="346"/>
      <c r="N110" s="346"/>
      <c r="O110" s="346"/>
      <c r="P110" s="346"/>
      <c r="Q110" s="346"/>
      <c r="R110" s="346"/>
      <c r="S110" s="346"/>
      <c r="T110" s="346"/>
    </row>
    <row r="111" spans="1:20">
      <c r="A111" s="428">
        <v>26</v>
      </c>
      <c r="B111" s="435" t="s">
        <v>1298</v>
      </c>
      <c r="C111" s="469">
        <f>('[4]Bieu 57'!D111)/1000000</f>
        <v>196.965</v>
      </c>
      <c r="D111" s="469">
        <f>('[4]Bieu 57'!I111)/1000000</f>
        <v>196.965</v>
      </c>
      <c r="E111" s="345">
        <f t="shared" si="10"/>
        <v>196.965</v>
      </c>
      <c r="F111" s="346"/>
      <c r="G111" s="346"/>
      <c r="H111" s="346"/>
      <c r="I111" s="346"/>
      <c r="J111" s="346"/>
      <c r="K111" s="346"/>
      <c r="L111" s="346"/>
      <c r="M111" s="346"/>
      <c r="N111" s="346"/>
      <c r="O111" s="346"/>
      <c r="P111" s="346"/>
      <c r="Q111" s="346"/>
      <c r="R111" s="346"/>
      <c r="S111" s="346"/>
      <c r="T111" s="346"/>
    </row>
    <row r="112" spans="1:20">
      <c r="A112" s="428">
        <v>27</v>
      </c>
      <c r="B112" s="435" t="s">
        <v>1299</v>
      </c>
      <c r="C112" s="469">
        <f>('[4]Bieu 57'!D112)/1000000</f>
        <v>210.44</v>
      </c>
      <c r="D112" s="469">
        <f>('[4]Bieu 57'!I112)/1000000</f>
        <v>210.44</v>
      </c>
      <c r="E112" s="345">
        <f t="shared" si="10"/>
        <v>210.44</v>
      </c>
      <c r="F112" s="346"/>
      <c r="G112" s="346"/>
      <c r="H112" s="346"/>
      <c r="I112" s="346"/>
      <c r="J112" s="346"/>
      <c r="K112" s="346"/>
      <c r="L112" s="346"/>
      <c r="M112" s="346"/>
      <c r="N112" s="346"/>
      <c r="O112" s="346"/>
      <c r="P112" s="346"/>
      <c r="Q112" s="346"/>
      <c r="R112" s="346"/>
      <c r="S112" s="346"/>
      <c r="T112" s="346"/>
    </row>
    <row r="113" spans="1:20">
      <c r="A113" s="428">
        <v>28</v>
      </c>
      <c r="B113" s="435" t="s">
        <v>1300</v>
      </c>
      <c r="C113" s="469">
        <f>('[4]Bieu 57'!D113)/1000000</f>
        <v>198.44499999999999</v>
      </c>
      <c r="D113" s="469">
        <f>('[4]Bieu 57'!I113)/1000000</f>
        <v>198.44499999999999</v>
      </c>
      <c r="E113" s="345">
        <f t="shared" si="10"/>
        <v>198.44499999999999</v>
      </c>
      <c r="F113" s="346"/>
      <c r="G113" s="346"/>
      <c r="H113" s="346"/>
      <c r="I113" s="346"/>
      <c r="J113" s="346"/>
      <c r="K113" s="346"/>
      <c r="L113" s="346"/>
      <c r="M113" s="346"/>
      <c r="N113" s="346"/>
      <c r="O113" s="346"/>
      <c r="P113" s="346"/>
      <c r="Q113" s="346"/>
      <c r="R113" s="346"/>
      <c r="S113" s="346"/>
      <c r="T113" s="346"/>
    </row>
    <row r="114" spans="1:20">
      <c r="A114" s="428">
        <v>29</v>
      </c>
      <c r="B114" s="435" t="s">
        <v>1301</v>
      </c>
      <c r="C114" s="469">
        <f>('[4]Bieu 57'!D114)/1000000</f>
        <v>174.88</v>
      </c>
      <c r="D114" s="469">
        <f>('[4]Bieu 57'!I114)/1000000</f>
        <v>174.88</v>
      </c>
      <c r="E114" s="345">
        <f t="shared" si="10"/>
        <v>174.88</v>
      </c>
      <c r="F114" s="346"/>
      <c r="G114" s="346"/>
      <c r="H114" s="346"/>
      <c r="I114" s="346"/>
      <c r="J114" s="346"/>
      <c r="K114" s="346"/>
      <c r="L114" s="346"/>
      <c r="M114" s="346"/>
      <c r="N114" s="346"/>
      <c r="O114" s="346"/>
      <c r="P114" s="346"/>
      <c r="Q114" s="346"/>
      <c r="R114" s="346"/>
      <c r="S114" s="346"/>
      <c r="T114" s="346"/>
    </row>
    <row r="115" spans="1:20">
      <c r="A115" s="428"/>
      <c r="B115" s="429"/>
      <c r="C115" s="471">
        <f>'[4]Bieu 57'!D115</f>
        <v>0</v>
      </c>
      <c r="D115" s="469">
        <f>('[4]Bieu 57'!I115)/1000000</f>
        <v>0</v>
      </c>
      <c r="E115" s="345">
        <f t="shared" si="10"/>
        <v>0</v>
      </c>
      <c r="F115" s="346"/>
      <c r="G115" s="346"/>
      <c r="H115" s="346"/>
      <c r="I115" s="346"/>
      <c r="J115" s="346"/>
      <c r="K115" s="346"/>
      <c r="L115" s="346"/>
      <c r="M115" s="346"/>
      <c r="N115" s="346"/>
      <c r="O115" s="346"/>
      <c r="P115" s="346"/>
      <c r="Q115" s="346"/>
      <c r="R115" s="346"/>
      <c r="S115" s="346"/>
      <c r="T115" s="346"/>
    </row>
    <row r="116" spans="1:20">
      <c r="A116" s="428"/>
      <c r="B116" s="429"/>
      <c r="C116" s="471">
        <f>'[4]Bieu 57'!D116</f>
        <v>0</v>
      </c>
      <c r="D116" s="469">
        <f>('[4]Bieu 57'!I116)/1000000</f>
        <v>0</v>
      </c>
      <c r="E116" s="345">
        <f t="shared" si="10"/>
        <v>0</v>
      </c>
      <c r="F116" s="346"/>
      <c r="G116" s="346"/>
      <c r="H116" s="346"/>
      <c r="I116" s="346"/>
      <c r="J116" s="346"/>
      <c r="K116" s="346"/>
      <c r="L116" s="346"/>
      <c r="M116" s="346"/>
      <c r="N116" s="346"/>
      <c r="O116" s="346"/>
      <c r="P116" s="346"/>
      <c r="Q116" s="346"/>
      <c r="R116" s="346"/>
      <c r="S116" s="346"/>
      <c r="T116" s="346"/>
    </row>
    <row r="117" spans="1:20" s="421" customFormat="1" ht="38.25">
      <c r="A117" s="436" t="s">
        <v>1385</v>
      </c>
      <c r="B117" s="432" t="s">
        <v>1386</v>
      </c>
      <c r="C117" s="468">
        <f>SUM(C118:C134)</f>
        <v>597.96400000000017</v>
      </c>
      <c r="D117" s="468">
        <f t="shared" ref="D117:T117" si="11">SUM(D118:D134)</f>
        <v>597.96400000000017</v>
      </c>
      <c r="E117" s="468">
        <f t="shared" si="11"/>
        <v>597.96400000000017</v>
      </c>
      <c r="F117" s="468">
        <f t="shared" si="11"/>
        <v>0</v>
      </c>
      <c r="G117" s="468">
        <f t="shared" si="11"/>
        <v>0</v>
      </c>
      <c r="H117" s="468">
        <f t="shared" si="11"/>
        <v>0</v>
      </c>
      <c r="I117" s="468">
        <f t="shared" si="11"/>
        <v>0</v>
      </c>
      <c r="J117" s="468">
        <f t="shared" si="11"/>
        <v>0</v>
      </c>
      <c r="K117" s="468">
        <f t="shared" si="11"/>
        <v>0</v>
      </c>
      <c r="L117" s="468">
        <f t="shared" si="11"/>
        <v>0</v>
      </c>
      <c r="M117" s="468">
        <f t="shared" si="11"/>
        <v>0</v>
      </c>
      <c r="N117" s="468">
        <f t="shared" si="11"/>
        <v>0</v>
      </c>
      <c r="O117" s="468">
        <f t="shared" si="11"/>
        <v>0</v>
      </c>
      <c r="P117" s="468">
        <f t="shared" si="11"/>
        <v>0</v>
      </c>
      <c r="Q117" s="468">
        <f t="shared" si="11"/>
        <v>0</v>
      </c>
      <c r="R117" s="468">
        <f t="shared" si="11"/>
        <v>0</v>
      </c>
      <c r="S117" s="468">
        <f t="shared" si="11"/>
        <v>0</v>
      </c>
      <c r="T117" s="468">
        <f t="shared" si="11"/>
        <v>0</v>
      </c>
    </row>
    <row r="118" spans="1:20">
      <c r="A118" s="428">
        <v>1</v>
      </c>
      <c r="B118" s="429" t="s">
        <v>1387</v>
      </c>
      <c r="C118" s="469">
        <f>('[4]Bieu 57'!D118)/1000000</f>
        <v>355.92</v>
      </c>
      <c r="D118" s="469">
        <f>('[4]Bieu 57'!I118)/1000000</f>
        <v>355.92</v>
      </c>
      <c r="E118" s="345">
        <f>D118</f>
        <v>355.92</v>
      </c>
      <c r="F118" s="346"/>
      <c r="G118" s="346"/>
      <c r="H118" s="346"/>
      <c r="I118" s="346"/>
      <c r="J118" s="346"/>
      <c r="K118" s="346"/>
      <c r="L118" s="346"/>
      <c r="M118" s="346"/>
      <c r="N118" s="346"/>
      <c r="O118" s="346"/>
      <c r="P118" s="346"/>
      <c r="Q118" s="346"/>
      <c r="R118" s="346"/>
      <c r="S118" s="346"/>
      <c r="T118" s="346"/>
    </row>
    <row r="119" spans="1:20">
      <c r="A119" s="428">
        <v>2</v>
      </c>
      <c r="B119" s="429" t="s">
        <v>1291</v>
      </c>
      <c r="C119" s="469">
        <f>('[4]Bieu 57'!D119)/1000000</f>
        <v>4.66</v>
      </c>
      <c r="D119" s="469">
        <f>('[4]Bieu 57'!I119)/1000000</f>
        <v>4.66</v>
      </c>
      <c r="E119" s="345">
        <f t="shared" ref="E119:E134" si="12">D119</f>
        <v>4.66</v>
      </c>
      <c r="F119" s="346"/>
      <c r="G119" s="346"/>
      <c r="H119" s="346"/>
      <c r="I119" s="346"/>
      <c r="J119" s="346"/>
      <c r="K119" s="346"/>
      <c r="L119" s="346"/>
      <c r="M119" s="346"/>
      <c r="N119" s="346"/>
      <c r="O119" s="346"/>
      <c r="P119" s="346"/>
      <c r="Q119" s="346"/>
      <c r="R119" s="346"/>
      <c r="S119" s="346"/>
      <c r="T119" s="346"/>
    </row>
    <row r="120" spans="1:20">
      <c r="A120" s="428">
        <v>3</v>
      </c>
      <c r="B120" s="429" t="s">
        <v>1277</v>
      </c>
      <c r="C120" s="469">
        <f>('[4]Bieu 57'!D120)/1000000</f>
        <v>10</v>
      </c>
      <c r="D120" s="469">
        <f>('[4]Bieu 57'!I120)/1000000</f>
        <v>10</v>
      </c>
      <c r="E120" s="345">
        <f t="shared" si="12"/>
        <v>10</v>
      </c>
      <c r="F120" s="346"/>
      <c r="G120" s="346"/>
      <c r="H120" s="346"/>
      <c r="I120" s="346"/>
      <c r="J120" s="346"/>
      <c r="K120" s="346"/>
      <c r="L120" s="346"/>
      <c r="M120" s="346"/>
      <c r="N120" s="346"/>
      <c r="O120" s="346"/>
      <c r="P120" s="346"/>
      <c r="Q120" s="346"/>
      <c r="R120" s="346"/>
      <c r="S120" s="346"/>
      <c r="T120" s="346"/>
    </row>
    <row r="121" spans="1:20">
      <c r="A121" s="428">
        <v>4</v>
      </c>
      <c r="B121" s="429" t="s">
        <v>1278</v>
      </c>
      <c r="C121" s="469">
        <f>('[4]Bieu 57'!D121)/1000000</f>
        <v>4.66</v>
      </c>
      <c r="D121" s="469">
        <f>('[4]Bieu 57'!I121)/1000000</f>
        <v>4.66</v>
      </c>
      <c r="E121" s="345">
        <f t="shared" si="12"/>
        <v>4.66</v>
      </c>
      <c r="F121" s="346"/>
      <c r="G121" s="346"/>
      <c r="H121" s="346"/>
      <c r="I121" s="346"/>
      <c r="J121" s="346"/>
      <c r="K121" s="346"/>
      <c r="L121" s="346"/>
      <c r="M121" s="346"/>
      <c r="N121" s="346"/>
      <c r="O121" s="346"/>
      <c r="P121" s="346"/>
      <c r="Q121" s="346"/>
      <c r="R121" s="346"/>
      <c r="S121" s="346"/>
      <c r="T121" s="346"/>
    </row>
    <row r="122" spans="1:20">
      <c r="A122" s="428">
        <v>5</v>
      </c>
      <c r="B122" s="429" t="s">
        <v>1280</v>
      </c>
      <c r="C122" s="469">
        <f>('[4]Bieu 57'!D122)/1000000</f>
        <v>4.66</v>
      </c>
      <c r="D122" s="469">
        <f>('[4]Bieu 57'!I122)/1000000</f>
        <v>4.66</v>
      </c>
      <c r="E122" s="345">
        <f t="shared" si="12"/>
        <v>4.66</v>
      </c>
      <c r="F122" s="346"/>
      <c r="G122" s="346"/>
      <c r="H122" s="346"/>
      <c r="I122" s="346"/>
      <c r="J122" s="346"/>
      <c r="K122" s="346"/>
      <c r="L122" s="346"/>
      <c r="M122" s="346"/>
      <c r="N122" s="346"/>
      <c r="O122" s="346"/>
      <c r="P122" s="346"/>
      <c r="Q122" s="346"/>
      <c r="R122" s="346"/>
      <c r="S122" s="346"/>
      <c r="T122" s="346"/>
    </row>
    <row r="123" spans="1:20">
      <c r="A123" s="428">
        <v>6</v>
      </c>
      <c r="B123" s="429" t="s">
        <v>1283</v>
      </c>
      <c r="C123" s="469">
        <f>('[4]Bieu 57'!D123)/1000000</f>
        <v>19.32</v>
      </c>
      <c r="D123" s="469">
        <f>('[4]Bieu 57'!I123)/1000000</f>
        <v>19.32</v>
      </c>
      <c r="E123" s="345">
        <f t="shared" si="12"/>
        <v>19.32</v>
      </c>
      <c r="F123" s="346"/>
      <c r="G123" s="346"/>
      <c r="H123" s="346"/>
      <c r="I123" s="346"/>
      <c r="J123" s="346"/>
      <c r="K123" s="346"/>
      <c r="L123" s="346"/>
      <c r="M123" s="346"/>
      <c r="N123" s="346"/>
      <c r="O123" s="346"/>
      <c r="P123" s="346"/>
      <c r="Q123" s="346"/>
      <c r="R123" s="346"/>
      <c r="S123" s="346"/>
      <c r="T123" s="346"/>
    </row>
    <row r="124" spans="1:20">
      <c r="A124" s="428">
        <v>7</v>
      </c>
      <c r="B124" s="429" t="s">
        <v>1284</v>
      </c>
      <c r="C124" s="469">
        <f>('[4]Bieu 57'!D124)/1000000</f>
        <v>9.32</v>
      </c>
      <c r="D124" s="469">
        <f>('[4]Bieu 57'!I124)/1000000</f>
        <v>9.32</v>
      </c>
      <c r="E124" s="345">
        <f t="shared" si="12"/>
        <v>9.32</v>
      </c>
      <c r="F124" s="346"/>
      <c r="G124" s="346"/>
      <c r="H124" s="346"/>
      <c r="I124" s="346"/>
      <c r="J124" s="346"/>
      <c r="K124" s="346"/>
      <c r="L124" s="346"/>
      <c r="M124" s="346"/>
      <c r="N124" s="346"/>
      <c r="O124" s="346"/>
      <c r="P124" s="346"/>
      <c r="Q124" s="346"/>
      <c r="R124" s="346"/>
      <c r="S124" s="346"/>
      <c r="T124" s="346"/>
    </row>
    <row r="125" spans="1:20">
      <c r="A125" s="428">
        <v>8</v>
      </c>
      <c r="B125" s="429" t="s">
        <v>1285</v>
      </c>
      <c r="C125" s="469">
        <f>('[4]Bieu 57'!D125)/1000000</f>
        <v>4.66</v>
      </c>
      <c r="D125" s="469">
        <f>('[4]Bieu 57'!I125)/1000000</f>
        <v>4.66</v>
      </c>
      <c r="E125" s="345">
        <f t="shared" si="12"/>
        <v>4.66</v>
      </c>
      <c r="F125" s="346"/>
      <c r="G125" s="346"/>
      <c r="H125" s="346"/>
      <c r="I125" s="346"/>
      <c r="J125" s="346"/>
      <c r="K125" s="346"/>
      <c r="L125" s="346"/>
      <c r="M125" s="346"/>
      <c r="N125" s="346"/>
      <c r="O125" s="346"/>
      <c r="P125" s="346"/>
      <c r="Q125" s="346"/>
      <c r="R125" s="346"/>
      <c r="S125" s="346"/>
      <c r="T125" s="346"/>
    </row>
    <row r="126" spans="1:20">
      <c r="A126" s="428">
        <v>9</v>
      </c>
      <c r="B126" s="429" t="s">
        <v>1286</v>
      </c>
      <c r="C126" s="469">
        <f>('[4]Bieu 57'!D126)/1000000</f>
        <v>4.66</v>
      </c>
      <c r="D126" s="469">
        <f>('[4]Bieu 57'!I126)/1000000</f>
        <v>4.66</v>
      </c>
      <c r="E126" s="345">
        <f t="shared" si="12"/>
        <v>4.66</v>
      </c>
      <c r="F126" s="346"/>
      <c r="G126" s="346"/>
      <c r="H126" s="346"/>
      <c r="I126" s="346"/>
      <c r="J126" s="346"/>
      <c r="K126" s="346"/>
      <c r="L126" s="346"/>
      <c r="M126" s="346"/>
      <c r="N126" s="346"/>
      <c r="O126" s="346"/>
      <c r="P126" s="346"/>
      <c r="Q126" s="346"/>
      <c r="R126" s="346"/>
      <c r="S126" s="346"/>
      <c r="T126" s="346"/>
    </row>
    <row r="127" spans="1:20">
      <c r="A127" s="428">
        <v>10</v>
      </c>
      <c r="B127" s="429" t="s">
        <v>1289</v>
      </c>
      <c r="C127" s="469">
        <f>('[4]Bieu 57'!D127)/1000000</f>
        <v>10</v>
      </c>
      <c r="D127" s="469">
        <f>('[4]Bieu 57'!I127)/1000000</f>
        <v>10</v>
      </c>
      <c r="E127" s="345">
        <f t="shared" si="12"/>
        <v>10</v>
      </c>
      <c r="F127" s="346"/>
      <c r="G127" s="346"/>
      <c r="H127" s="346"/>
      <c r="I127" s="346"/>
      <c r="J127" s="346"/>
      <c r="K127" s="346"/>
      <c r="L127" s="346"/>
      <c r="M127" s="346"/>
      <c r="N127" s="346"/>
      <c r="O127" s="346"/>
      <c r="P127" s="346"/>
      <c r="Q127" s="346"/>
      <c r="R127" s="346"/>
      <c r="S127" s="346"/>
      <c r="T127" s="346"/>
    </row>
    <row r="128" spans="1:20">
      <c r="A128" s="428">
        <v>11</v>
      </c>
      <c r="B128" s="429" t="s">
        <v>1292</v>
      </c>
      <c r="C128" s="469">
        <f>('[4]Bieu 57'!D128)/1000000</f>
        <v>10</v>
      </c>
      <c r="D128" s="469">
        <f>('[4]Bieu 57'!I128)/1000000</f>
        <v>10</v>
      </c>
      <c r="E128" s="345">
        <f t="shared" si="12"/>
        <v>10</v>
      </c>
      <c r="F128" s="346"/>
      <c r="G128" s="346"/>
      <c r="H128" s="346"/>
      <c r="I128" s="346"/>
      <c r="J128" s="346"/>
      <c r="K128" s="346"/>
      <c r="L128" s="346"/>
      <c r="M128" s="346"/>
      <c r="N128" s="346"/>
      <c r="O128" s="346"/>
      <c r="P128" s="346"/>
      <c r="Q128" s="346"/>
      <c r="R128" s="346"/>
      <c r="S128" s="346"/>
      <c r="T128" s="346"/>
    </row>
    <row r="129" spans="1:20">
      <c r="A129" s="428">
        <v>12</v>
      </c>
      <c r="B129" s="429" t="s">
        <v>1294</v>
      </c>
      <c r="C129" s="469">
        <f>('[4]Bieu 57'!D129)/1000000</f>
        <v>20</v>
      </c>
      <c r="D129" s="469">
        <f>('[4]Bieu 57'!I129)/1000000</f>
        <v>20</v>
      </c>
      <c r="E129" s="345">
        <f t="shared" si="12"/>
        <v>20</v>
      </c>
      <c r="F129" s="346"/>
      <c r="G129" s="346"/>
      <c r="H129" s="346"/>
      <c r="I129" s="346"/>
      <c r="J129" s="346"/>
      <c r="K129" s="346"/>
      <c r="L129" s="346"/>
      <c r="M129" s="346"/>
      <c r="N129" s="346"/>
      <c r="O129" s="346"/>
      <c r="P129" s="346"/>
      <c r="Q129" s="346"/>
      <c r="R129" s="346"/>
      <c r="S129" s="346"/>
      <c r="T129" s="346"/>
    </row>
    <row r="130" spans="1:20">
      <c r="A130" s="428">
        <v>13</v>
      </c>
      <c r="B130" s="429" t="s">
        <v>1388</v>
      </c>
      <c r="C130" s="469">
        <f>('[4]Bieu 57'!D130)/1000000</f>
        <v>35.340000000000003</v>
      </c>
      <c r="D130" s="469">
        <f>('[4]Bieu 57'!I130)/1000000</f>
        <v>35.340000000000003</v>
      </c>
      <c r="E130" s="345">
        <f t="shared" si="12"/>
        <v>35.340000000000003</v>
      </c>
      <c r="F130" s="346"/>
      <c r="G130" s="346"/>
      <c r="H130" s="346"/>
      <c r="I130" s="346"/>
      <c r="J130" s="346"/>
      <c r="K130" s="346"/>
      <c r="L130" s="346"/>
      <c r="M130" s="346"/>
      <c r="N130" s="346"/>
      <c r="O130" s="346"/>
      <c r="P130" s="346"/>
      <c r="Q130" s="346"/>
      <c r="R130" s="346"/>
      <c r="S130" s="346"/>
      <c r="T130" s="346"/>
    </row>
    <row r="131" spans="1:20">
      <c r="A131" s="428">
        <v>14</v>
      </c>
      <c r="B131" s="429" t="s">
        <v>1297</v>
      </c>
      <c r="C131" s="469">
        <f>('[4]Bieu 57'!D131)/1000000</f>
        <v>15.34</v>
      </c>
      <c r="D131" s="469">
        <f>('[4]Bieu 57'!I131)/1000000</f>
        <v>15.34</v>
      </c>
      <c r="E131" s="345">
        <f t="shared" si="12"/>
        <v>15.34</v>
      </c>
      <c r="F131" s="346"/>
      <c r="G131" s="346"/>
      <c r="H131" s="346"/>
      <c r="I131" s="346"/>
      <c r="J131" s="346"/>
      <c r="K131" s="346"/>
      <c r="L131" s="346"/>
      <c r="M131" s="346"/>
      <c r="N131" s="346"/>
      <c r="O131" s="346"/>
      <c r="P131" s="346"/>
      <c r="Q131" s="346"/>
      <c r="R131" s="346"/>
      <c r="S131" s="346"/>
      <c r="T131" s="346"/>
    </row>
    <row r="132" spans="1:20">
      <c r="A132" s="428">
        <v>15</v>
      </c>
      <c r="B132" s="429" t="s">
        <v>1298</v>
      </c>
      <c r="C132" s="469">
        <f>('[4]Bieu 57'!D132)/1000000</f>
        <v>24.66</v>
      </c>
      <c r="D132" s="469">
        <f>('[4]Bieu 57'!I132)/1000000</f>
        <v>24.66</v>
      </c>
      <c r="E132" s="345">
        <f t="shared" si="12"/>
        <v>24.66</v>
      </c>
      <c r="F132" s="346"/>
      <c r="G132" s="346"/>
      <c r="H132" s="346"/>
      <c r="I132" s="346"/>
      <c r="J132" s="346"/>
      <c r="K132" s="346"/>
      <c r="L132" s="346"/>
      <c r="M132" s="346"/>
      <c r="N132" s="346"/>
      <c r="O132" s="346"/>
      <c r="P132" s="346"/>
      <c r="Q132" s="346"/>
      <c r="R132" s="346"/>
      <c r="S132" s="346"/>
      <c r="T132" s="346"/>
    </row>
    <row r="133" spans="1:20">
      <c r="A133" s="428">
        <v>16</v>
      </c>
      <c r="B133" s="429" t="s">
        <v>1300</v>
      </c>
      <c r="C133" s="469">
        <f>('[4]Bieu 57'!D133)/1000000</f>
        <v>49.423999999999999</v>
      </c>
      <c r="D133" s="469">
        <f>('[4]Bieu 57'!I133)/1000000</f>
        <v>49.423999999999999</v>
      </c>
      <c r="E133" s="345">
        <f t="shared" si="12"/>
        <v>49.423999999999999</v>
      </c>
      <c r="F133" s="346"/>
      <c r="G133" s="346"/>
      <c r="H133" s="346"/>
      <c r="I133" s="346"/>
      <c r="J133" s="346"/>
      <c r="K133" s="346"/>
      <c r="L133" s="346"/>
      <c r="M133" s="346"/>
      <c r="N133" s="346"/>
      <c r="O133" s="346"/>
      <c r="P133" s="346"/>
      <c r="Q133" s="346"/>
      <c r="R133" s="346"/>
      <c r="S133" s="346"/>
      <c r="T133" s="346"/>
    </row>
    <row r="134" spans="1:20">
      <c r="A134" s="428">
        <v>17</v>
      </c>
      <c r="B134" s="429" t="s">
        <v>1301</v>
      </c>
      <c r="C134" s="469">
        <f>('[4]Bieu 57'!D134)/1000000</f>
        <v>15.34</v>
      </c>
      <c r="D134" s="469">
        <f>('[4]Bieu 57'!I134)/1000000</f>
        <v>15.34</v>
      </c>
      <c r="E134" s="345">
        <f t="shared" si="12"/>
        <v>15.34</v>
      </c>
      <c r="F134" s="346"/>
      <c r="G134" s="346"/>
      <c r="H134" s="346"/>
      <c r="I134" s="346"/>
      <c r="J134" s="346"/>
      <c r="K134" s="346"/>
      <c r="L134" s="346"/>
      <c r="M134" s="346"/>
      <c r="N134" s="346"/>
      <c r="O134" s="346"/>
      <c r="P134" s="346"/>
      <c r="Q134" s="346"/>
      <c r="R134" s="346"/>
      <c r="S134" s="346"/>
      <c r="T134" s="346"/>
    </row>
    <row r="135" spans="1:20" s="421" customFormat="1" ht="25.5">
      <c r="A135" s="434" t="s">
        <v>1389</v>
      </c>
      <c r="B135" s="432" t="s">
        <v>1390</v>
      </c>
      <c r="C135" s="468">
        <f>SUM(C136:C138)</f>
        <v>4778.4616499999993</v>
      </c>
      <c r="D135" s="468">
        <f t="shared" ref="D135:T135" si="13">SUM(D136:D138)</f>
        <v>4778.4616499999993</v>
      </c>
      <c r="E135" s="468">
        <f t="shared" si="13"/>
        <v>4778.4616499999993</v>
      </c>
      <c r="F135" s="468">
        <f t="shared" si="13"/>
        <v>0</v>
      </c>
      <c r="G135" s="468">
        <f t="shared" si="13"/>
        <v>0</v>
      </c>
      <c r="H135" s="468">
        <f t="shared" si="13"/>
        <v>0</v>
      </c>
      <c r="I135" s="468">
        <f t="shared" si="13"/>
        <v>0</v>
      </c>
      <c r="J135" s="468">
        <f t="shared" si="13"/>
        <v>0</v>
      </c>
      <c r="K135" s="468">
        <f t="shared" si="13"/>
        <v>0</v>
      </c>
      <c r="L135" s="468">
        <f t="shared" si="13"/>
        <v>0</v>
      </c>
      <c r="M135" s="468">
        <f t="shared" si="13"/>
        <v>0</v>
      </c>
      <c r="N135" s="468">
        <f t="shared" si="13"/>
        <v>0</v>
      </c>
      <c r="O135" s="468">
        <f t="shared" si="13"/>
        <v>0</v>
      </c>
      <c r="P135" s="468">
        <f t="shared" si="13"/>
        <v>0</v>
      </c>
      <c r="Q135" s="468">
        <f t="shared" si="13"/>
        <v>0</v>
      </c>
      <c r="R135" s="468">
        <f t="shared" si="13"/>
        <v>0</v>
      </c>
      <c r="S135" s="468">
        <f t="shared" si="13"/>
        <v>0</v>
      </c>
      <c r="T135" s="468">
        <f t="shared" si="13"/>
        <v>0</v>
      </c>
    </row>
    <row r="136" spans="1:20">
      <c r="A136" s="428">
        <v>1</v>
      </c>
      <c r="B136" s="435" t="s">
        <v>1273</v>
      </c>
      <c r="C136" s="469">
        <f>('[4]Bieu 57'!D136)/1000000</f>
        <v>579.80799999999999</v>
      </c>
      <c r="D136" s="469">
        <f>('[4]Bieu 57'!I136)/1000000</f>
        <v>579.80799999999999</v>
      </c>
      <c r="E136" s="345">
        <f>D136</f>
        <v>579.80799999999999</v>
      </c>
      <c r="F136" s="346"/>
      <c r="G136" s="346"/>
      <c r="H136" s="346"/>
      <c r="I136" s="346"/>
      <c r="J136" s="346"/>
      <c r="K136" s="346"/>
      <c r="L136" s="346"/>
      <c r="M136" s="346"/>
      <c r="N136" s="346"/>
      <c r="O136" s="346"/>
      <c r="P136" s="346"/>
      <c r="Q136" s="346"/>
      <c r="R136" s="346"/>
      <c r="S136" s="346"/>
      <c r="T136" s="346"/>
    </row>
    <row r="137" spans="1:20">
      <c r="A137" s="428">
        <v>2</v>
      </c>
      <c r="B137" s="435" t="s">
        <v>1388</v>
      </c>
      <c r="C137" s="469">
        <f>('[4]Bieu 57'!D137)/1000000</f>
        <v>1153.81</v>
      </c>
      <c r="D137" s="469">
        <f>('[4]Bieu 57'!I137)/1000000</f>
        <v>1153.81</v>
      </c>
      <c r="E137" s="345">
        <f>D137</f>
        <v>1153.81</v>
      </c>
      <c r="F137" s="346"/>
      <c r="G137" s="346"/>
      <c r="H137" s="346"/>
      <c r="I137" s="346"/>
      <c r="J137" s="346"/>
      <c r="K137" s="346"/>
      <c r="L137" s="346"/>
      <c r="M137" s="346"/>
      <c r="N137" s="346"/>
      <c r="O137" s="346"/>
      <c r="P137" s="346"/>
      <c r="Q137" s="346"/>
      <c r="R137" s="346"/>
      <c r="S137" s="346"/>
      <c r="T137" s="346"/>
    </row>
    <row r="138" spans="1:20">
      <c r="A138" s="428">
        <v>3</v>
      </c>
      <c r="B138" s="435" t="s">
        <v>1298</v>
      </c>
      <c r="C138" s="469">
        <f>('[4]Bieu 57'!D138)/1000000</f>
        <v>3044.8436499999998</v>
      </c>
      <c r="D138" s="469">
        <f>('[4]Bieu 57'!I138)/1000000</f>
        <v>3044.8436499999998</v>
      </c>
      <c r="E138" s="345">
        <f>D138</f>
        <v>3044.8436499999998</v>
      </c>
      <c r="F138" s="346"/>
      <c r="G138" s="346"/>
      <c r="H138" s="346"/>
      <c r="I138" s="346"/>
      <c r="J138" s="346"/>
      <c r="K138" s="346"/>
      <c r="L138" s="346"/>
      <c r="M138" s="346"/>
      <c r="N138" s="346"/>
      <c r="O138" s="346"/>
      <c r="P138" s="346"/>
      <c r="Q138" s="346"/>
      <c r="R138" s="346"/>
      <c r="S138" s="346"/>
      <c r="T138" s="346"/>
    </row>
    <row r="139" spans="1:20">
      <c r="A139" s="428"/>
      <c r="B139" s="430"/>
      <c r="C139" s="471">
        <f>'[4]Bieu 57'!D139</f>
        <v>0</v>
      </c>
      <c r="D139" s="345">
        <f>'[4]Bieu 57'!I139</f>
        <v>0</v>
      </c>
      <c r="E139" s="345">
        <f>D139</f>
        <v>0</v>
      </c>
      <c r="F139" s="467"/>
      <c r="G139" s="467"/>
      <c r="H139" s="467"/>
      <c r="I139" s="467"/>
      <c r="J139" s="467"/>
      <c r="K139" s="467"/>
      <c r="L139" s="467"/>
      <c r="M139" s="467"/>
      <c r="N139" s="467"/>
      <c r="O139" s="467"/>
      <c r="P139" s="467"/>
      <c r="Q139" s="467"/>
      <c r="R139" s="467"/>
      <c r="S139" s="467"/>
      <c r="T139" s="467"/>
    </row>
    <row r="140" spans="1:20" s="421" customFormat="1">
      <c r="A140" s="418" t="s">
        <v>1391</v>
      </c>
      <c r="B140" s="419" t="s">
        <v>1392</v>
      </c>
      <c r="C140" s="468">
        <f>SUM(C141:C154)+C182</f>
        <v>56174.949242000002</v>
      </c>
      <c r="D140" s="468">
        <f t="shared" ref="D140:T140" si="14">SUM(D141:D154)+D182</f>
        <v>54954.633627999996</v>
      </c>
      <c r="E140" s="468">
        <f t="shared" si="14"/>
        <v>54954.633627999996</v>
      </c>
      <c r="F140" s="468">
        <f t="shared" si="14"/>
        <v>0</v>
      </c>
      <c r="G140" s="468">
        <f t="shared" si="14"/>
        <v>0</v>
      </c>
      <c r="H140" s="468">
        <f t="shared" si="14"/>
        <v>0</v>
      </c>
      <c r="I140" s="468">
        <f t="shared" si="14"/>
        <v>0</v>
      </c>
      <c r="J140" s="468">
        <f t="shared" si="14"/>
        <v>0</v>
      </c>
      <c r="K140" s="468">
        <f t="shared" si="14"/>
        <v>0</v>
      </c>
      <c r="L140" s="468">
        <f t="shared" si="14"/>
        <v>0</v>
      </c>
      <c r="M140" s="468">
        <f t="shared" si="14"/>
        <v>0</v>
      </c>
      <c r="N140" s="468">
        <f t="shared" si="14"/>
        <v>0</v>
      </c>
      <c r="O140" s="468">
        <f t="shared" si="14"/>
        <v>0</v>
      </c>
      <c r="P140" s="468">
        <f t="shared" si="14"/>
        <v>0</v>
      </c>
      <c r="Q140" s="468">
        <f t="shared" si="14"/>
        <v>0</v>
      </c>
      <c r="R140" s="468">
        <f t="shared" si="14"/>
        <v>0</v>
      </c>
      <c r="S140" s="468">
        <f t="shared" si="14"/>
        <v>0</v>
      </c>
      <c r="T140" s="468">
        <f t="shared" si="14"/>
        <v>0</v>
      </c>
    </row>
    <row r="141" spans="1:20">
      <c r="A141" s="422">
        <v>1</v>
      </c>
      <c r="B141" s="423" t="s">
        <v>1305</v>
      </c>
      <c r="C141" s="469">
        <f>('[4]Bieu 57'!D141)/1000000</f>
        <v>15742.22</v>
      </c>
      <c r="D141" s="469">
        <f>('[4]Bieu 57'!I141)/1000000</f>
        <v>15520.22</v>
      </c>
      <c r="E141" s="345">
        <f>D141</f>
        <v>15520.22</v>
      </c>
      <c r="F141" s="346"/>
      <c r="G141" s="346"/>
      <c r="H141" s="346"/>
      <c r="I141" s="346"/>
      <c r="J141" s="346"/>
      <c r="K141" s="346"/>
      <c r="L141" s="346"/>
      <c r="M141" s="346"/>
      <c r="N141" s="346"/>
      <c r="O141" s="346"/>
      <c r="P141" s="346"/>
      <c r="Q141" s="346"/>
      <c r="R141" s="346"/>
      <c r="S141" s="346"/>
      <c r="T141" s="346"/>
    </row>
    <row r="142" spans="1:20">
      <c r="A142" s="422">
        <v>2</v>
      </c>
      <c r="B142" s="423" t="s">
        <v>551</v>
      </c>
      <c r="C142" s="469">
        <f>('[4]Bieu 57'!D142)/1000000</f>
        <v>6662</v>
      </c>
      <c r="D142" s="469">
        <f>('[4]Bieu 57'!I142)/1000000</f>
        <v>6548</v>
      </c>
      <c r="E142" s="345">
        <f t="shared" ref="E142:E184" si="15">D142</f>
        <v>6548</v>
      </c>
      <c r="F142" s="346"/>
      <c r="G142" s="346"/>
      <c r="H142" s="346"/>
      <c r="I142" s="346"/>
      <c r="J142" s="346"/>
      <c r="K142" s="346"/>
      <c r="L142" s="346"/>
      <c r="M142" s="346"/>
      <c r="N142" s="346"/>
      <c r="O142" s="346"/>
      <c r="P142" s="346"/>
      <c r="Q142" s="346"/>
      <c r="R142" s="346"/>
      <c r="S142" s="346"/>
      <c r="T142" s="346"/>
    </row>
    <row r="143" spans="1:20">
      <c r="A143" s="422">
        <v>3</v>
      </c>
      <c r="B143" s="423" t="s">
        <v>1306</v>
      </c>
      <c r="C143" s="469">
        <f>('[4]Bieu 57'!D143)/1000000</f>
        <v>3876.52</v>
      </c>
      <c r="D143" s="469">
        <f>('[4]Bieu 57'!I143)/1000000</f>
        <v>3874.6289999999999</v>
      </c>
      <c r="E143" s="345">
        <f t="shared" si="15"/>
        <v>3874.6289999999999</v>
      </c>
      <c r="F143" s="346"/>
      <c r="G143" s="346"/>
      <c r="H143" s="346"/>
      <c r="I143" s="346"/>
      <c r="J143" s="346"/>
      <c r="K143" s="346"/>
      <c r="L143" s="346"/>
      <c r="M143" s="346"/>
      <c r="N143" s="346"/>
      <c r="O143" s="346"/>
      <c r="P143" s="346"/>
      <c r="Q143" s="346"/>
      <c r="R143" s="346"/>
      <c r="S143" s="346"/>
      <c r="T143" s="346"/>
    </row>
    <row r="144" spans="1:20">
      <c r="A144" s="422">
        <v>4</v>
      </c>
      <c r="B144" s="423" t="s">
        <v>1307</v>
      </c>
      <c r="C144" s="469">
        <f>('[4]Bieu 57'!D144)/1000000</f>
        <v>1225.7840000000001</v>
      </c>
      <c r="D144" s="469">
        <f>('[4]Bieu 57'!I144)/1000000</f>
        <v>1225.7840000000001</v>
      </c>
      <c r="E144" s="345">
        <f t="shared" si="15"/>
        <v>1225.7840000000001</v>
      </c>
      <c r="F144" s="346"/>
      <c r="G144" s="346"/>
      <c r="H144" s="346"/>
      <c r="I144" s="346"/>
      <c r="J144" s="346"/>
      <c r="K144" s="346"/>
      <c r="L144" s="346"/>
      <c r="M144" s="346"/>
      <c r="N144" s="346"/>
      <c r="O144" s="346"/>
      <c r="P144" s="346"/>
      <c r="Q144" s="346"/>
      <c r="R144" s="346"/>
      <c r="S144" s="346"/>
      <c r="T144" s="346"/>
    </row>
    <row r="145" spans="1:20">
      <c r="A145" s="422">
        <v>5</v>
      </c>
      <c r="B145" s="423" t="s">
        <v>1308</v>
      </c>
      <c r="C145" s="469">
        <f>('[4]Bieu 57'!D145)/1000000</f>
        <v>5494.7996350000003</v>
      </c>
      <c r="D145" s="469">
        <f>('[4]Bieu 57'!I145)/1000000</f>
        <v>5472.9443739999997</v>
      </c>
      <c r="E145" s="345">
        <f t="shared" si="15"/>
        <v>5472.9443739999997</v>
      </c>
      <c r="F145" s="346"/>
      <c r="G145" s="346"/>
      <c r="H145" s="346"/>
      <c r="I145" s="346"/>
      <c r="J145" s="346"/>
      <c r="K145" s="346"/>
      <c r="L145" s="346"/>
      <c r="M145" s="346"/>
      <c r="N145" s="346"/>
      <c r="O145" s="346"/>
      <c r="P145" s="346"/>
      <c r="Q145" s="346"/>
      <c r="R145" s="346"/>
      <c r="S145" s="346"/>
      <c r="T145" s="346"/>
    </row>
    <row r="146" spans="1:20">
      <c r="A146" s="422">
        <v>6</v>
      </c>
      <c r="B146" s="423" t="s">
        <v>1393</v>
      </c>
      <c r="C146" s="469">
        <f>('[4]Bieu 57'!D146)/1000000</f>
        <v>7815</v>
      </c>
      <c r="D146" s="469">
        <f>('[4]Bieu 57'!I146)/1000000</f>
        <v>7815</v>
      </c>
      <c r="E146" s="345">
        <f t="shared" si="15"/>
        <v>7815</v>
      </c>
      <c r="F146" s="346"/>
      <c r="G146" s="346"/>
      <c r="H146" s="346"/>
      <c r="I146" s="346"/>
      <c r="J146" s="346"/>
      <c r="K146" s="346"/>
      <c r="L146" s="346"/>
      <c r="M146" s="346"/>
      <c r="N146" s="346"/>
      <c r="O146" s="346"/>
      <c r="P146" s="346"/>
      <c r="Q146" s="346"/>
      <c r="R146" s="346"/>
      <c r="S146" s="346"/>
      <c r="T146" s="346"/>
    </row>
    <row r="147" spans="1:20">
      <c r="A147" s="422">
        <v>7</v>
      </c>
      <c r="B147" s="423" t="s">
        <v>1309</v>
      </c>
      <c r="C147" s="469">
        <f>('[4]Bieu 57'!D147)/1000000</f>
        <v>1610.422</v>
      </c>
      <c r="D147" s="469">
        <f>('[4]Bieu 57'!I147)/1000000</f>
        <v>1610.422</v>
      </c>
      <c r="E147" s="345">
        <f t="shared" si="15"/>
        <v>1610.422</v>
      </c>
      <c r="F147" s="346"/>
      <c r="G147" s="346"/>
      <c r="H147" s="346"/>
      <c r="I147" s="346"/>
      <c r="J147" s="346"/>
      <c r="K147" s="346"/>
      <c r="L147" s="346"/>
      <c r="M147" s="346"/>
      <c r="N147" s="346"/>
      <c r="O147" s="346"/>
      <c r="P147" s="346"/>
      <c r="Q147" s="346"/>
      <c r="R147" s="346"/>
      <c r="S147" s="346"/>
      <c r="T147" s="346"/>
    </row>
    <row r="148" spans="1:20">
      <c r="A148" s="422">
        <v>8</v>
      </c>
      <c r="B148" s="423" t="s">
        <v>1310</v>
      </c>
      <c r="C148" s="469">
        <f>('[4]Bieu 57'!D148)/1000000</f>
        <v>3924.355</v>
      </c>
      <c r="D148" s="469">
        <f>('[4]Bieu 57'!I148)/1000000</f>
        <v>3923.9205999999999</v>
      </c>
      <c r="E148" s="345">
        <f t="shared" si="15"/>
        <v>3923.9205999999999</v>
      </c>
      <c r="F148" s="346"/>
      <c r="G148" s="346"/>
      <c r="H148" s="346"/>
      <c r="I148" s="346"/>
      <c r="J148" s="346"/>
      <c r="K148" s="346"/>
      <c r="L148" s="346"/>
      <c r="M148" s="346"/>
      <c r="N148" s="346"/>
      <c r="O148" s="346"/>
      <c r="P148" s="346"/>
      <c r="Q148" s="346"/>
      <c r="R148" s="346"/>
      <c r="S148" s="346"/>
      <c r="T148" s="346"/>
    </row>
    <row r="149" spans="1:20" ht="25.5">
      <c r="A149" s="422">
        <v>10</v>
      </c>
      <c r="B149" s="423" t="s">
        <v>1394</v>
      </c>
      <c r="C149" s="469">
        <f>('[4]Bieu 57'!D149)/1000000</f>
        <v>500</v>
      </c>
      <c r="D149" s="469">
        <f>('[4]Bieu 57'!I149)/1000000</f>
        <v>195.477</v>
      </c>
      <c r="E149" s="345">
        <f t="shared" si="15"/>
        <v>195.477</v>
      </c>
      <c r="F149" s="346"/>
      <c r="G149" s="346"/>
      <c r="H149" s="346"/>
      <c r="I149" s="346"/>
      <c r="J149" s="346"/>
      <c r="K149" s="346"/>
      <c r="L149" s="346"/>
      <c r="M149" s="346"/>
      <c r="N149" s="346"/>
      <c r="O149" s="346"/>
      <c r="P149" s="346"/>
      <c r="Q149" s="346"/>
      <c r="R149" s="346"/>
      <c r="S149" s="346"/>
      <c r="T149" s="346"/>
    </row>
    <row r="150" spans="1:20">
      <c r="A150" s="422">
        <v>11</v>
      </c>
      <c r="B150" s="423" t="s">
        <v>1395</v>
      </c>
      <c r="C150" s="469">
        <f>('[4]Bieu 57'!D150)/1000000</f>
        <v>414.4</v>
      </c>
      <c r="D150" s="469">
        <f>('[4]Bieu 57'!I150)/1000000</f>
        <v>396.9</v>
      </c>
      <c r="E150" s="345">
        <f t="shared" si="15"/>
        <v>396.9</v>
      </c>
      <c r="F150" s="346"/>
      <c r="G150" s="346"/>
      <c r="H150" s="346"/>
      <c r="I150" s="346"/>
      <c r="J150" s="346"/>
      <c r="K150" s="346"/>
      <c r="L150" s="346"/>
      <c r="M150" s="346"/>
      <c r="N150" s="346"/>
      <c r="O150" s="346"/>
      <c r="P150" s="346"/>
      <c r="Q150" s="346"/>
      <c r="R150" s="346"/>
      <c r="S150" s="346"/>
      <c r="T150" s="346"/>
    </row>
    <row r="151" spans="1:20">
      <c r="A151" s="422">
        <v>12</v>
      </c>
      <c r="B151" s="423" t="s">
        <v>1396</v>
      </c>
      <c r="C151" s="469">
        <f>('[4]Bieu 57'!D151)/1000000</f>
        <v>2195</v>
      </c>
      <c r="D151" s="469">
        <f>('[4]Bieu 57'!I151)/1000000</f>
        <v>2195</v>
      </c>
      <c r="E151" s="345">
        <f t="shared" si="15"/>
        <v>2195</v>
      </c>
      <c r="F151" s="346"/>
      <c r="G151" s="346"/>
      <c r="H151" s="346"/>
      <c r="I151" s="346"/>
      <c r="J151" s="346"/>
      <c r="K151" s="346"/>
      <c r="L151" s="346"/>
      <c r="M151" s="346"/>
      <c r="N151" s="346"/>
      <c r="O151" s="346"/>
      <c r="P151" s="346"/>
      <c r="Q151" s="346"/>
      <c r="R151" s="346"/>
      <c r="S151" s="346"/>
      <c r="T151" s="346"/>
    </row>
    <row r="152" spans="1:20">
      <c r="A152" s="422">
        <v>13</v>
      </c>
      <c r="B152" s="423" t="s">
        <v>1397</v>
      </c>
      <c r="C152" s="469">
        <f>('[4]Bieu 57'!D152)/1000000</f>
        <v>898.76560700000005</v>
      </c>
      <c r="D152" s="469">
        <f>('[4]Bieu 57'!I152)/1000000</f>
        <v>538.77065400000004</v>
      </c>
      <c r="E152" s="345">
        <f t="shared" si="15"/>
        <v>538.77065400000004</v>
      </c>
      <c r="F152" s="346"/>
      <c r="G152" s="346"/>
      <c r="H152" s="346"/>
      <c r="I152" s="346"/>
      <c r="J152" s="346"/>
      <c r="K152" s="346"/>
      <c r="L152" s="346"/>
      <c r="M152" s="346"/>
      <c r="N152" s="346"/>
      <c r="O152" s="346"/>
      <c r="P152" s="346"/>
      <c r="Q152" s="346"/>
      <c r="R152" s="346"/>
      <c r="S152" s="346"/>
      <c r="T152" s="346"/>
    </row>
    <row r="153" spans="1:20">
      <c r="A153" s="422">
        <v>14</v>
      </c>
      <c r="B153" s="423" t="s">
        <v>1398</v>
      </c>
      <c r="C153" s="469">
        <f>('[4]Bieu 57'!D153)/1000000</f>
        <v>530</v>
      </c>
      <c r="D153" s="469">
        <f>('[4]Bieu 57'!I153)/1000000</f>
        <v>530</v>
      </c>
      <c r="E153" s="345">
        <f t="shared" si="15"/>
        <v>530</v>
      </c>
      <c r="F153" s="346"/>
      <c r="G153" s="346"/>
      <c r="H153" s="346"/>
      <c r="I153" s="346"/>
      <c r="J153" s="346"/>
      <c r="K153" s="346"/>
      <c r="L153" s="346"/>
      <c r="M153" s="346"/>
      <c r="N153" s="346"/>
      <c r="O153" s="346"/>
      <c r="P153" s="346"/>
      <c r="Q153" s="346"/>
      <c r="R153" s="346"/>
      <c r="S153" s="346"/>
      <c r="T153" s="346"/>
    </row>
    <row r="154" spans="1:20" s="421" customFormat="1">
      <c r="A154" s="418">
        <v>15</v>
      </c>
      <c r="B154" s="419" t="s">
        <v>1399</v>
      </c>
      <c r="C154" s="468">
        <f>SUM(C155:C181)</f>
        <v>4781.92</v>
      </c>
      <c r="D154" s="468">
        <f t="shared" ref="D154:T154" si="16">SUM(D155:D181)</f>
        <v>4603.8029999999999</v>
      </c>
      <c r="E154" s="468">
        <f t="shared" si="16"/>
        <v>4603.8029999999999</v>
      </c>
      <c r="F154" s="468">
        <f t="shared" si="16"/>
        <v>0</v>
      </c>
      <c r="G154" s="468">
        <f t="shared" si="16"/>
        <v>0</v>
      </c>
      <c r="H154" s="468">
        <f t="shared" si="16"/>
        <v>0</v>
      </c>
      <c r="I154" s="468">
        <f t="shared" si="16"/>
        <v>0</v>
      </c>
      <c r="J154" s="468">
        <f t="shared" si="16"/>
        <v>0</v>
      </c>
      <c r="K154" s="468">
        <f t="shared" si="16"/>
        <v>0</v>
      </c>
      <c r="L154" s="468">
        <f t="shared" si="16"/>
        <v>0</v>
      </c>
      <c r="M154" s="468">
        <f t="shared" si="16"/>
        <v>0</v>
      </c>
      <c r="N154" s="468">
        <f t="shared" si="16"/>
        <v>0</v>
      </c>
      <c r="O154" s="468">
        <f t="shared" si="16"/>
        <v>0</v>
      </c>
      <c r="P154" s="468">
        <f t="shared" si="16"/>
        <v>0</v>
      </c>
      <c r="Q154" s="468">
        <f t="shared" si="16"/>
        <v>0</v>
      </c>
      <c r="R154" s="468">
        <f t="shared" si="16"/>
        <v>0</v>
      </c>
      <c r="S154" s="468">
        <f t="shared" si="16"/>
        <v>0</v>
      </c>
      <c r="T154" s="468">
        <f t="shared" si="16"/>
        <v>0</v>
      </c>
    </row>
    <row r="155" spans="1:20">
      <c r="A155" s="422"/>
      <c r="B155" s="424" t="s">
        <v>1400</v>
      </c>
      <c r="C155" s="469">
        <f>('[4]Bieu 57'!D155)/1000000</f>
        <v>62.32</v>
      </c>
      <c r="D155" s="469">
        <f>('[4]Bieu 57'!I155)/1000000</f>
        <v>62.32</v>
      </c>
      <c r="E155" s="345">
        <f t="shared" si="15"/>
        <v>62.32</v>
      </c>
      <c r="F155" s="346"/>
      <c r="G155" s="346"/>
      <c r="H155" s="346"/>
      <c r="I155" s="346"/>
      <c r="J155" s="346"/>
      <c r="K155" s="346"/>
      <c r="L155" s="346"/>
      <c r="M155" s="346"/>
      <c r="N155" s="346"/>
      <c r="O155" s="346"/>
      <c r="P155" s="346"/>
      <c r="Q155" s="346"/>
      <c r="R155" s="346"/>
      <c r="S155" s="346"/>
      <c r="T155" s="346"/>
    </row>
    <row r="156" spans="1:20">
      <c r="A156" s="422"/>
      <c r="B156" s="424" t="s">
        <v>451</v>
      </c>
      <c r="C156" s="469">
        <f>('[4]Bieu 57'!D156)/1000000</f>
        <v>1074.79</v>
      </c>
      <c r="D156" s="469">
        <f>('[4]Bieu 57'!I156)/1000000</f>
        <v>1040.751</v>
      </c>
      <c r="E156" s="345">
        <f t="shared" si="15"/>
        <v>1040.751</v>
      </c>
      <c r="F156" s="346"/>
      <c r="G156" s="346"/>
      <c r="H156" s="346"/>
      <c r="I156" s="346"/>
      <c r="J156" s="346"/>
      <c r="K156" s="346"/>
      <c r="L156" s="346"/>
      <c r="M156" s="346"/>
      <c r="N156" s="346"/>
      <c r="O156" s="346"/>
      <c r="P156" s="346"/>
      <c r="Q156" s="346"/>
      <c r="R156" s="346"/>
      <c r="S156" s="346"/>
      <c r="T156" s="346"/>
    </row>
    <row r="157" spans="1:20">
      <c r="A157" s="422"/>
      <c r="B157" s="424" t="s">
        <v>509</v>
      </c>
      <c r="C157" s="469">
        <f>('[4]Bieu 57'!D157)/1000000</f>
        <v>238.5</v>
      </c>
      <c r="D157" s="469">
        <f>('[4]Bieu 57'!I157)/1000000</f>
        <v>238.5</v>
      </c>
      <c r="E157" s="345">
        <f t="shared" si="15"/>
        <v>238.5</v>
      </c>
      <c r="F157" s="346"/>
      <c r="G157" s="346"/>
      <c r="H157" s="346"/>
      <c r="I157" s="346"/>
      <c r="J157" s="346"/>
      <c r="K157" s="346"/>
      <c r="L157" s="346"/>
      <c r="M157" s="346"/>
      <c r="N157" s="346"/>
      <c r="O157" s="346"/>
      <c r="P157" s="346"/>
      <c r="Q157" s="346"/>
      <c r="R157" s="346"/>
      <c r="S157" s="346"/>
      <c r="T157" s="346"/>
    </row>
    <row r="158" spans="1:20">
      <c r="A158" s="422"/>
      <c r="B158" s="424" t="s">
        <v>1401</v>
      </c>
      <c r="C158" s="469">
        <f>('[4]Bieu 57'!D158)/1000000</f>
        <v>124.6</v>
      </c>
      <c r="D158" s="469">
        <f>('[4]Bieu 57'!I158)/1000000</f>
        <v>124.6</v>
      </c>
      <c r="E158" s="345">
        <f t="shared" si="15"/>
        <v>124.6</v>
      </c>
      <c r="F158" s="346"/>
      <c r="G158" s="346"/>
      <c r="H158" s="346"/>
      <c r="I158" s="346"/>
      <c r="J158" s="346"/>
      <c r="K158" s="346"/>
      <c r="L158" s="346"/>
      <c r="M158" s="346"/>
      <c r="N158" s="346"/>
      <c r="O158" s="346"/>
      <c r="P158" s="346"/>
      <c r="Q158" s="346"/>
      <c r="R158" s="346"/>
      <c r="S158" s="346"/>
      <c r="T158" s="346"/>
    </row>
    <row r="159" spans="1:20">
      <c r="A159" s="422"/>
      <c r="B159" s="424" t="s">
        <v>453</v>
      </c>
      <c r="C159" s="469">
        <f>('[4]Bieu 57'!D159)/1000000</f>
        <v>126.1</v>
      </c>
      <c r="D159" s="469">
        <f>('[4]Bieu 57'!I159)/1000000</f>
        <v>74.641999999999996</v>
      </c>
      <c r="E159" s="345">
        <f t="shared" si="15"/>
        <v>74.641999999999996</v>
      </c>
      <c r="F159" s="346"/>
      <c r="G159" s="346"/>
      <c r="H159" s="346"/>
      <c r="I159" s="346"/>
      <c r="J159" s="346"/>
      <c r="K159" s="346"/>
      <c r="L159" s="346"/>
      <c r="M159" s="346"/>
      <c r="N159" s="346"/>
      <c r="O159" s="346"/>
      <c r="P159" s="346"/>
      <c r="Q159" s="346"/>
      <c r="R159" s="346"/>
      <c r="S159" s="346"/>
      <c r="T159" s="346"/>
    </row>
    <row r="160" spans="1:20">
      <c r="A160" s="422"/>
      <c r="B160" s="424" t="s">
        <v>512</v>
      </c>
      <c r="C160" s="469">
        <f>('[4]Bieu 57'!D160)/1000000</f>
        <v>349.78500000000003</v>
      </c>
      <c r="D160" s="469">
        <f>('[4]Bieu 57'!I160)/1000000</f>
        <v>349.78500000000003</v>
      </c>
      <c r="E160" s="345">
        <f t="shared" si="15"/>
        <v>349.78500000000003</v>
      </c>
      <c r="F160" s="346"/>
      <c r="G160" s="346"/>
      <c r="H160" s="346"/>
      <c r="I160" s="346"/>
      <c r="J160" s="346"/>
      <c r="K160" s="346"/>
      <c r="L160" s="346"/>
      <c r="M160" s="346"/>
      <c r="N160" s="346"/>
      <c r="O160" s="346"/>
      <c r="P160" s="346"/>
      <c r="Q160" s="346"/>
      <c r="R160" s="346"/>
      <c r="S160" s="346"/>
      <c r="T160" s="346"/>
    </row>
    <row r="161" spans="1:20">
      <c r="A161" s="422"/>
      <c r="B161" s="424" t="s">
        <v>484</v>
      </c>
      <c r="C161" s="469">
        <f>('[4]Bieu 57'!D161)/1000000</f>
        <v>211.88</v>
      </c>
      <c r="D161" s="469">
        <f>('[4]Bieu 57'!I161)/1000000</f>
        <v>211.88</v>
      </c>
      <c r="E161" s="345">
        <f t="shared" si="15"/>
        <v>211.88</v>
      </c>
      <c r="F161" s="346"/>
      <c r="G161" s="346"/>
      <c r="H161" s="346"/>
      <c r="I161" s="346"/>
      <c r="J161" s="346"/>
      <c r="K161" s="346"/>
      <c r="L161" s="346"/>
      <c r="M161" s="346"/>
      <c r="N161" s="346"/>
      <c r="O161" s="346"/>
      <c r="P161" s="346"/>
      <c r="Q161" s="346"/>
      <c r="R161" s="346"/>
      <c r="S161" s="346"/>
      <c r="T161" s="346"/>
    </row>
    <row r="162" spans="1:20">
      <c r="A162" s="422"/>
      <c r="B162" s="424" t="s">
        <v>1402</v>
      </c>
      <c r="C162" s="469">
        <f>('[4]Bieu 57'!D162)/1000000</f>
        <v>665.58</v>
      </c>
      <c r="D162" s="469">
        <f>('[4]Bieu 57'!I162)/1000000</f>
        <v>665.58</v>
      </c>
      <c r="E162" s="345">
        <f t="shared" si="15"/>
        <v>665.58</v>
      </c>
      <c r="F162" s="346"/>
      <c r="G162" s="346"/>
      <c r="H162" s="346"/>
      <c r="I162" s="346"/>
      <c r="J162" s="346"/>
      <c r="K162" s="346"/>
      <c r="L162" s="346"/>
      <c r="M162" s="346"/>
      <c r="N162" s="346"/>
      <c r="O162" s="346"/>
      <c r="P162" s="346"/>
      <c r="Q162" s="346"/>
      <c r="R162" s="346"/>
      <c r="S162" s="346"/>
      <c r="T162" s="346"/>
    </row>
    <row r="163" spans="1:20" ht="25.5">
      <c r="A163" s="422"/>
      <c r="B163" s="424" t="s">
        <v>1403</v>
      </c>
      <c r="C163" s="469">
        <f>('[4]Bieu 57'!D163)/1000000</f>
        <v>21.2</v>
      </c>
      <c r="D163" s="469">
        <f>('[4]Bieu 57'!I163)/1000000</f>
        <v>21.2</v>
      </c>
      <c r="E163" s="345">
        <f t="shared" si="15"/>
        <v>21.2</v>
      </c>
      <c r="F163" s="346"/>
      <c r="G163" s="346"/>
      <c r="H163" s="346"/>
      <c r="I163" s="346"/>
      <c r="J163" s="346"/>
      <c r="K163" s="346"/>
      <c r="L163" s="346"/>
      <c r="M163" s="346"/>
      <c r="N163" s="346"/>
      <c r="O163" s="346"/>
      <c r="P163" s="346"/>
      <c r="Q163" s="346"/>
      <c r="R163" s="346"/>
      <c r="S163" s="346"/>
      <c r="T163" s="346"/>
    </row>
    <row r="164" spans="1:20" ht="25.5">
      <c r="A164" s="422"/>
      <c r="B164" s="424" t="s">
        <v>1404</v>
      </c>
      <c r="C164" s="469">
        <f>('[4]Bieu 57'!D164)/1000000</f>
        <v>25.725000000000001</v>
      </c>
      <c r="D164" s="469">
        <f>('[4]Bieu 57'!I164)/1000000</f>
        <v>23.86</v>
      </c>
      <c r="E164" s="345">
        <f t="shared" si="15"/>
        <v>23.86</v>
      </c>
      <c r="F164" s="346"/>
      <c r="G164" s="346"/>
      <c r="H164" s="346"/>
      <c r="I164" s="346"/>
      <c r="J164" s="346"/>
      <c r="K164" s="346"/>
      <c r="L164" s="346"/>
      <c r="M164" s="346"/>
      <c r="N164" s="346"/>
      <c r="O164" s="346"/>
      <c r="P164" s="346"/>
      <c r="Q164" s="346"/>
      <c r="R164" s="346"/>
      <c r="S164" s="346"/>
      <c r="T164" s="346"/>
    </row>
    <row r="165" spans="1:20">
      <c r="A165" s="422"/>
      <c r="B165" s="424" t="s">
        <v>545</v>
      </c>
      <c r="C165" s="469">
        <f>('[4]Bieu 57'!D165)/1000000</f>
        <v>104.8</v>
      </c>
      <c r="D165" s="469">
        <f>('[4]Bieu 57'!I165)/1000000</f>
        <v>104.8</v>
      </c>
      <c r="E165" s="345">
        <f t="shared" si="15"/>
        <v>104.8</v>
      </c>
      <c r="F165" s="346"/>
      <c r="G165" s="346"/>
      <c r="H165" s="346"/>
      <c r="I165" s="346"/>
      <c r="J165" s="346"/>
      <c r="K165" s="346"/>
      <c r="L165" s="346"/>
      <c r="M165" s="346"/>
      <c r="N165" s="346"/>
      <c r="O165" s="346"/>
      <c r="P165" s="346"/>
      <c r="Q165" s="346"/>
      <c r="R165" s="346"/>
      <c r="S165" s="346"/>
      <c r="T165" s="346"/>
    </row>
    <row r="166" spans="1:20">
      <c r="A166" s="422"/>
      <c r="B166" s="424" t="s">
        <v>1405</v>
      </c>
      <c r="C166" s="469">
        <f>('[4]Bieu 57'!D166)/1000000</f>
        <v>127.54</v>
      </c>
      <c r="D166" s="469">
        <f>('[4]Bieu 57'!I166)/1000000</f>
        <v>127.54</v>
      </c>
      <c r="E166" s="345">
        <f t="shared" si="15"/>
        <v>127.54</v>
      </c>
      <c r="F166" s="346"/>
      <c r="G166" s="346"/>
      <c r="H166" s="346"/>
      <c r="I166" s="346"/>
      <c r="J166" s="346"/>
      <c r="K166" s="346"/>
      <c r="L166" s="346"/>
      <c r="M166" s="346"/>
      <c r="N166" s="346"/>
      <c r="O166" s="346"/>
      <c r="P166" s="346"/>
      <c r="Q166" s="346"/>
      <c r="R166" s="346"/>
      <c r="S166" s="346"/>
      <c r="T166" s="346"/>
    </row>
    <row r="167" spans="1:20">
      <c r="A167" s="422"/>
      <c r="B167" s="424" t="s">
        <v>1406</v>
      </c>
      <c r="C167" s="469">
        <f>('[4]Bieu 57'!D167)/1000000</f>
        <v>150.5</v>
      </c>
      <c r="D167" s="469">
        <f>('[4]Bieu 57'!I167)/1000000</f>
        <v>150.5</v>
      </c>
      <c r="E167" s="345">
        <f t="shared" si="15"/>
        <v>150.5</v>
      </c>
      <c r="F167" s="346"/>
      <c r="G167" s="346"/>
      <c r="H167" s="346"/>
      <c r="I167" s="346"/>
      <c r="J167" s="346"/>
      <c r="K167" s="346"/>
      <c r="L167" s="346"/>
      <c r="M167" s="346"/>
      <c r="N167" s="346"/>
      <c r="O167" s="346"/>
      <c r="P167" s="346"/>
      <c r="Q167" s="346"/>
      <c r="R167" s="346"/>
      <c r="S167" s="346"/>
      <c r="T167" s="346"/>
    </row>
    <row r="168" spans="1:20">
      <c r="A168" s="422"/>
      <c r="B168" s="424" t="s">
        <v>551</v>
      </c>
      <c r="C168" s="469">
        <f>('[4]Bieu 57'!D168)/1000000</f>
        <v>108</v>
      </c>
      <c r="D168" s="469">
        <f>('[4]Bieu 57'!I168)/1000000</f>
        <v>108</v>
      </c>
      <c r="E168" s="345">
        <f t="shared" si="15"/>
        <v>108</v>
      </c>
      <c r="F168" s="346"/>
      <c r="G168" s="346"/>
      <c r="H168" s="346"/>
      <c r="I168" s="346"/>
      <c r="J168" s="346"/>
      <c r="K168" s="346"/>
      <c r="L168" s="346"/>
      <c r="M168" s="346"/>
      <c r="N168" s="346"/>
      <c r="O168" s="346"/>
      <c r="P168" s="346"/>
      <c r="Q168" s="346"/>
      <c r="R168" s="346"/>
      <c r="S168" s="346"/>
      <c r="T168" s="346"/>
    </row>
    <row r="169" spans="1:20">
      <c r="A169" s="422"/>
      <c r="B169" s="424" t="s">
        <v>1348</v>
      </c>
      <c r="C169" s="469">
        <f>('[4]Bieu 57'!D169)/1000000</f>
        <v>174</v>
      </c>
      <c r="D169" s="469">
        <f>('[4]Bieu 57'!I169)/1000000</f>
        <v>174</v>
      </c>
      <c r="E169" s="345">
        <f t="shared" si="15"/>
        <v>174</v>
      </c>
      <c r="F169" s="346"/>
      <c r="G169" s="346"/>
      <c r="H169" s="346"/>
      <c r="I169" s="346"/>
      <c r="J169" s="346"/>
      <c r="K169" s="346"/>
      <c r="L169" s="346"/>
      <c r="M169" s="346"/>
      <c r="N169" s="346"/>
      <c r="O169" s="346"/>
      <c r="P169" s="346"/>
      <c r="Q169" s="346"/>
      <c r="R169" s="346"/>
      <c r="S169" s="346"/>
      <c r="T169" s="346"/>
    </row>
    <row r="170" spans="1:20">
      <c r="A170" s="422"/>
      <c r="B170" s="437" t="s">
        <v>1407</v>
      </c>
      <c r="C170" s="469">
        <f>('[4]Bieu 57'!D170)/1000000</f>
        <v>97.18</v>
      </c>
      <c r="D170" s="469">
        <f>('[4]Bieu 57'!I170)/1000000</f>
        <v>97.18</v>
      </c>
      <c r="E170" s="345">
        <f t="shared" si="15"/>
        <v>97.18</v>
      </c>
      <c r="F170" s="346"/>
      <c r="G170" s="346"/>
      <c r="H170" s="346"/>
      <c r="I170" s="346"/>
      <c r="J170" s="346"/>
      <c r="K170" s="346"/>
      <c r="L170" s="346"/>
      <c r="M170" s="346"/>
      <c r="N170" s="346"/>
      <c r="O170" s="346"/>
      <c r="P170" s="346"/>
      <c r="Q170" s="346"/>
      <c r="R170" s="346"/>
      <c r="S170" s="346"/>
      <c r="T170" s="346"/>
    </row>
    <row r="171" spans="1:20" ht="25.5">
      <c r="A171" s="422"/>
      <c r="B171" s="424" t="s">
        <v>1408</v>
      </c>
      <c r="C171" s="469">
        <f>('[4]Bieu 57'!D171)/1000000</f>
        <v>123</v>
      </c>
      <c r="D171" s="469">
        <f>('[4]Bieu 57'!I171)/1000000</f>
        <v>123</v>
      </c>
      <c r="E171" s="345">
        <f t="shared" si="15"/>
        <v>123</v>
      </c>
      <c r="F171" s="346"/>
      <c r="G171" s="346"/>
      <c r="H171" s="346"/>
      <c r="I171" s="346"/>
      <c r="J171" s="346"/>
      <c r="K171" s="346"/>
      <c r="L171" s="346"/>
      <c r="M171" s="346"/>
      <c r="N171" s="346"/>
      <c r="O171" s="346"/>
      <c r="P171" s="346"/>
      <c r="Q171" s="346"/>
      <c r="R171" s="346"/>
      <c r="S171" s="346"/>
      <c r="T171" s="346"/>
    </row>
    <row r="172" spans="1:20">
      <c r="A172" s="422"/>
      <c r="B172" s="424" t="s">
        <v>1409</v>
      </c>
      <c r="C172" s="469">
        <f>('[4]Bieu 57'!D172)/1000000</f>
        <v>134.5</v>
      </c>
      <c r="D172" s="469">
        <f>('[4]Bieu 57'!I172)/1000000</f>
        <v>125.535</v>
      </c>
      <c r="E172" s="345">
        <f t="shared" si="15"/>
        <v>125.535</v>
      </c>
      <c r="F172" s="346"/>
      <c r="G172" s="346"/>
      <c r="H172" s="346"/>
      <c r="I172" s="346"/>
      <c r="J172" s="346"/>
      <c r="K172" s="346"/>
      <c r="L172" s="346"/>
      <c r="M172" s="346"/>
      <c r="N172" s="346"/>
      <c r="O172" s="346"/>
      <c r="P172" s="346"/>
      <c r="Q172" s="346"/>
      <c r="R172" s="346"/>
      <c r="S172" s="346"/>
      <c r="T172" s="346"/>
    </row>
    <row r="173" spans="1:20">
      <c r="A173" s="422"/>
      <c r="B173" s="424" t="s">
        <v>1410</v>
      </c>
      <c r="C173" s="469">
        <f>('[4]Bieu 57'!D173)/1000000</f>
        <v>84</v>
      </c>
      <c r="D173" s="469">
        <f>('[4]Bieu 57'!I173)/1000000</f>
        <v>84</v>
      </c>
      <c r="E173" s="345">
        <f t="shared" si="15"/>
        <v>84</v>
      </c>
      <c r="F173" s="346"/>
      <c r="G173" s="346"/>
      <c r="H173" s="346"/>
      <c r="I173" s="346"/>
      <c r="J173" s="346"/>
      <c r="K173" s="346"/>
      <c r="L173" s="346"/>
      <c r="M173" s="346"/>
      <c r="N173" s="346"/>
      <c r="O173" s="346"/>
      <c r="P173" s="346"/>
      <c r="Q173" s="346"/>
      <c r="R173" s="346"/>
      <c r="S173" s="346"/>
      <c r="T173" s="346"/>
    </row>
    <row r="174" spans="1:20">
      <c r="A174" s="422"/>
      <c r="B174" s="424" t="s">
        <v>1411</v>
      </c>
      <c r="C174" s="469">
        <f>('[4]Bieu 57'!D174)/1000000</f>
        <v>62</v>
      </c>
      <c r="D174" s="469">
        <f>('[4]Bieu 57'!I174)/1000000</f>
        <v>45.07</v>
      </c>
      <c r="E174" s="345">
        <f t="shared" si="15"/>
        <v>45.07</v>
      </c>
      <c r="F174" s="346"/>
      <c r="G174" s="346"/>
      <c r="H174" s="346"/>
      <c r="I174" s="346"/>
      <c r="J174" s="346"/>
      <c r="K174" s="346"/>
      <c r="L174" s="346"/>
      <c r="M174" s="346"/>
      <c r="N174" s="346"/>
      <c r="O174" s="346"/>
      <c r="P174" s="346"/>
      <c r="Q174" s="346"/>
      <c r="R174" s="346"/>
      <c r="S174" s="346"/>
      <c r="T174" s="346"/>
    </row>
    <row r="175" spans="1:20">
      <c r="A175" s="422"/>
      <c r="B175" s="424" t="s">
        <v>1412</v>
      </c>
      <c r="C175" s="469">
        <f>('[4]Bieu 57'!D175)/1000000</f>
        <v>128</v>
      </c>
      <c r="D175" s="469">
        <f>('[4]Bieu 57'!I175)/1000000</f>
        <v>127.4</v>
      </c>
      <c r="E175" s="345">
        <f t="shared" si="15"/>
        <v>127.4</v>
      </c>
      <c r="F175" s="346"/>
      <c r="G175" s="346"/>
      <c r="H175" s="346"/>
      <c r="I175" s="346"/>
      <c r="J175" s="346"/>
      <c r="K175" s="346"/>
      <c r="L175" s="346"/>
      <c r="M175" s="346"/>
      <c r="N175" s="346"/>
      <c r="O175" s="346"/>
      <c r="P175" s="346"/>
      <c r="Q175" s="346"/>
      <c r="R175" s="346"/>
      <c r="S175" s="346"/>
      <c r="T175" s="346"/>
    </row>
    <row r="176" spans="1:20">
      <c r="A176" s="422"/>
      <c r="B176" s="424" t="s">
        <v>1413</v>
      </c>
      <c r="C176" s="469">
        <f>('[4]Bieu 57'!D176)/1000000</f>
        <v>126</v>
      </c>
      <c r="D176" s="469">
        <f>('[4]Bieu 57'!I176)/1000000</f>
        <v>125.04</v>
      </c>
      <c r="E176" s="345">
        <f t="shared" si="15"/>
        <v>125.04</v>
      </c>
      <c r="F176" s="346"/>
      <c r="G176" s="346"/>
      <c r="H176" s="346"/>
      <c r="I176" s="346"/>
      <c r="J176" s="346"/>
      <c r="K176" s="346"/>
      <c r="L176" s="346"/>
      <c r="M176" s="346"/>
      <c r="N176" s="346"/>
      <c r="O176" s="346"/>
      <c r="P176" s="346"/>
      <c r="Q176" s="346"/>
      <c r="R176" s="346"/>
      <c r="S176" s="346"/>
      <c r="T176" s="346"/>
    </row>
    <row r="177" spans="1:20">
      <c r="A177" s="422"/>
      <c r="B177" s="424" t="s">
        <v>1414</v>
      </c>
      <c r="C177" s="469">
        <f>('[4]Bieu 57'!D177)/1000000</f>
        <v>36.5</v>
      </c>
      <c r="D177" s="469">
        <f>('[4]Bieu 57'!I177)/1000000</f>
        <v>36.5</v>
      </c>
      <c r="E177" s="345">
        <f t="shared" si="15"/>
        <v>36.5</v>
      </c>
      <c r="F177" s="346"/>
      <c r="G177" s="346"/>
      <c r="H177" s="346"/>
      <c r="I177" s="346"/>
      <c r="J177" s="346"/>
      <c r="K177" s="346"/>
      <c r="L177" s="346"/>
      <c r="M177" s="346"/>
      <c r="N177" s="346"/>
      <c r="O177" s="346"/>
      <c r="P177" s="346"/>
      <c r="Q177" s="346"/>
      <c r="R177" s="346"/>
      <c r="S177" s="346"/>
      <c r="T177" s="346"/>
    </row>
    <row r="178" spans="1:20">
      <c r="A178" s="422"/>
      <c r="B178" s="424" t="s">
        <v>1415</v>
      </c>
      <c r="C178" s="469">
        <f>('[4]Bieu 57'!D178)/1000000</f>
        <v>133</v>
      </c>
      <c r="D178" s="469">
        <f>('[4]Bieu 57'!I178)/1000000</f>
        <v>131.19999999999999</v>
      </c>
      <c r="E178" s="345">
        <f t="shared" si="15"/>
        <v>131.19999999999999</v>
      </c>
      <c r="F178" s="346"/>
      <c r="G178" s="346"/>
      <c r="H178" s="346"/>
      <c r="I178" s="346"/>
      <c r="J178" s="346"/>
      <c r="K178" s="346"/>
      <c r="L178" s="346"/>
      <c r="M178" s="346"/>
      <c r="N178" s="346"/>
      <c r="O178" s="346"/>
      <c r="P178" s="346"/>
      <c r="Q178" s="346"/>
      <c r="R178" s="346"/>
      <c r="S178" s="346"/>
      <c r="T178" s="346"/>
    </row>
    <row r="179" spans="1:20">
      <c r="A179" s="422"/>
      <c r="B179" s="424" t="s">
        <v>1416</v>
      </c>
      <c r="C179" s="469">
        <f>('[4]Bieu 57'!D179)/1000000</f>
        <v>61.5</v>
      </c>
      <c r="D179" s="469">
        <f>('[4]Bieu 57'!I179)/1000000</f>
        <v>0</v>
      </c>
      <c r="E179" s="345">
        <f t="shared" si="15"/>
        <v>0</v>
      </c>
      <c r="F179" s="346"/>
      <c r="G179" s="346"/>
      <c r="H179" s="346"/>
      <c r="I179" s="346"/>
      <c r="J179" s="346"/>
      <c r="K179" s="346"/>
      <c r="L179" s="346"/>
      <c r="M179" s="346"/>
      <c r="N179" s="346"/>
      <c r="O179" s="346"/>
      <c r="P179" s="346"/>
      <c r="Q179" s="346"/>
      <c r="R179" s="346"/>
      <c r="S179" s="346"/>
      <c r="T179" s="346"/>
    </row>
    <row r="180" spans="1:20">
      <c r="A180" s="422"/>
      <c r="B180" s="424" t="s">
        <v>1417</v>
      </c>
      <c r="C180" s="469">
        <f>('[4]Bieu 57'!D180)/1000000</f>
        <v>91.12</v>
      </c>
      <c r="D180" s="469">
        <f>('[4]Bieu 57'!I180)/1000000</f>
        <v>91.12</v>
      </c>
      <c r="E180" s="345">
        <f t="shared" si="15"/>
        <v>91.12</v>
      </c>
      <c r="F180" s="346"/>
      <c r="G180" s="346"/>
      <c r="H180" s="346"/>
      <c r="I180" s="346"/>
      <c r="J180" s="346"/>
      <c r="K180" s="346"/>
      <c r="L180" s="346"/>
      <c r="M180" s="346"/>
      <c r="N180" s="346"/>
      <c r="O180" s="346"/>
      <c r="P180" s="346"/>
      <c r="Q180" s="346"/>
      <c r="R180" s="346"/>
      <c r="S180" s="346"/>
      <c r="T180" s="346"/>
    </row>
    <row r="181" spans="1:20">
      <c r="A181" s="422"/>
      <c r="B181" s="437" t="s">
        <v>1418</v>
      </c>
      <c r="C181" s="469">
        <f>('[4]Bieu 57'!D181)/1000000</f>
        <v>139.80000000000001</v>
      </c>
      <c r="D181" s="469">
        <f>('[4]Bieu 57'!I181)/1000000</f>
        <v>139.80000000000001</v>
      </c>
      <c r="E181" s="345">
        <f t="shared" si="15"/>
        <v>139.80000000000001</v>
      </c>
      <c r="F181" s="346"/>
      <c r="G181" s="346"/>
      <c r="H181" s="346"/>
      <c r="I181" s="346"/>
      <c r="J181" s="346"/>
      <c r="K181" s="346"/>
      <c r="L181" s="346"/>
      <c r="M181" s="346"/>
      <c r="N181" s="346"/>
      <c r="O181" s="346"/>
      <c r="P181" s="346"/>
      <c r="Q181" s="346"/>
      <c r="R181" s="346"/>
      <c r="S181" s="346"/>
      <c r="T181" s="346"/>
    </row>
    <row r="182" spans="1:20" s="421" customFormat="1">
      <c r="A182" s="418">
        <v>16</v>
      </c>
      <c r="B182" s="419" t="s">
        <v>1419</v>
      </c>
      <c r="C182" s="468">
        <f>SUM(C183:C184)</f>
        <v>503.76299999999998</v>
      </c>
      <c r="D182" s="468">
        <f t="shared" ref="D182:T182" si="17">SUM(D183:D184)</f>
        <v>503.76299999999998</v>
      </c>
      <c r="E182" s="468">
        <f t="shared" si="17"/>
        <v>503.76299999999998</v>
      </c>
      <c r="F182" s="468">
        <f t="shared" si="17"/>
        <v>0</v>
      </c>
      <c r="G182" s="468">
        <f t="shared" si="17"/>
        <v>0</v>
      </c>
      <c r="H182" s="468">
        <f t="shared" si="17"/>
        <v>0</v>
      </c>
      <c r="I182" s="468">
        <f t="shared" si="17"/>
        <v>0</v>
      </c>
      <c r="J182" s="468">
        <f t="shared" si="17"/>
        <v>0</v>
      </c>
      <c r="K182" s="468">
        <f t="shared" si="17"/>
        <v>0</v>
      </c>
      <c r="L182" s="468">
        <f t="shared" si="17"/>
        <v>0</v>
      </c>
      <c r="M182" s="468">
        <f t="shared" si="17"/>
        <v>0</v>
      </c>
      <c r="N182" s="468">
        <f t="shared" si="17"/>
        <v>0</v>
      </c>
      <c r="O182" s="468">
        <f t="shared" si="17"/>
        <v>0</v>
      </c>
      <c r="P182" s="468">
        <f t="shared" si="17"/>
        <v>0</v>
      </c>
      <c r="Q182" s="468">
        <f t="shared" si="17"/>
        <v>0</v>
      </c>
      <c r="R182" s="468">
        <f t="shared" si="17"/>
        <v>0</v>
      </c>
      <c r="S182" s="468">
        <f t="shared" si="17"/>
        <v>0</v>
      </c>
      <c r="T182" s="468">
        <f t="shared" si="17"/>
        <v>0</v>
      </c>
    </row>
    <row r="183" spans="1:20">
      <c r="A183" s="422"/>
      <c r="B183" s="424" t="s">
        <v>1417</v>
      </c>
      <c r="C183" s="471">
        <f>'[4]Bieu 57'!D183</f>
        <v>0</v>
      </c>
      <c r="D183" s="345">
        <f>'[4]Bieu 57'!I183</f>
        <v>0</v>
      </c>
      <c r="E183" s="345">
        <f t="shared" si="15"/>
        <v>0</v>
      </c>
      <c r="F183" s="346"/>
      <c r="G183" s="346"/>
      <c r="H183" s="346"/>
      <c r="I183" s="346"/>
      <c r="J183" s="346"/>
      <c r="K183" s="346"/>
      <c r="L183" s="346"/>
      <c r="M183" s="346"/>
      <c r="N183" s="346"/>
      <c r="O183" s="346"/>
      <c r="P183" s="346"/>
      <c r="Q183" s="346"/>
      <c r="R183" s="346"/>
      <c r="S183" s="346"/>
      <c r="T183" s="346"/>
    </row>
    <row r="184" spans="1:20">
      <c r="A184" s="422"/>
      <c r="B184" s="424" t="s">
        <v>451</v>
      </c>
      <c r="C184" s="469">
        <f>('[4]Bieu 57'!D184)/1000000</f>
        <v>503.76299999999998</v>
      </c>
      <c r="D184" s="469">
        <f>('[4]Bieu 57'!I184)/1000000</f>
        <v>503.76299999999998</v>
      </c>
      <c r="E184" s="345">
        <f t="shared" si="15"/>
        <v>503.76299999999998</v>
      </c>
      <c r="F184" s="346"/>
      <c r="G184" s="346"/>
      <c r="H184" s="346"/>
      <c r="I184" s="346"/>
      <c r="J184" s="346"/>
      <c r="K184" s="346"/>
      <c r="L184" s="346"/>
      <c r="M184" s="346"/>
      <c r="N184" s="346"/>
      <c r="O184" s="346"/>
      <c r="P184" s="346"/>
      <c r="Q184" s="346"/>
      <c r="R184" s="346"/>
      <c r="S184" s="346"/>
      <c r="T184" s="346"/>
    </row>
    <row r="185" spans="1:20" s="421" customFormat="1">
      <c r="A185" s="426" t="s">
        <v>24</v>
      </c>
      <c r="B185" s="361" t="s">
        <v>1420</v>
      </c>
      <c r="C185" s="468">
        <f>SUM(C186:C195)</f>
        <v>24402.046348000003</v>
      </c>
      <c r="D185" s="468">
        <f t="shared" ref="D185:T185" si="18">SUM(D186:D195)</f>
        <v>16595.839</v>
      </c>
      <c r="E185" s="468">
        <f t="shared" si="18"/>
        <v>0</v>
      </c>
      <c r="F185" s="468">
        <f t="shared" si="18"/>
        <v>16595.839</v>
      </c>
      <c r="G185" s="468">
        <f t="shared" si="18"/>
        <v>0</v>
      </c>
      <c r="H185" s="468">
        <f t="shared" si="18"/>
        <v>0</v>
      </c>
      <c r="I185" s="468">
        <f t="shared" si="18"/>
        <v>0</v>
      </c>
      <c r="J185" s="468">
        <f t="shared" si="18"/>
        <v>0</v>
      </c>
      <c r="K185" s="468">
        <f t="shared" si="18"/>
        <v>0</v>
      </c>
      <c r="L185" s="468">
        <f t="shared" si="18"/>
        <v>0</v>
      </c>
      <c r="M185" s="468">
        <f t="shared" si="18"/>
        <v>0</v>
      </c>
      <c r="N185" s="468">
        <f t="shared" si="18"/>
        <v>0</v>
      </c>
      <c r="O185" s="468">
        <f t="shared" si="18"/>
        <v>0</v>
      </c>
      <c r="P185" s="468">
        <f t="shared" si="18"/>
        <v>0</v>
      </c>
      <c r="Q185" s="468">
        <f t="shared" si="18"/>
        <v>0</v>
      </c>
      <c r="R185" s="468">
        <f t="shared" si="18"/>
        <v>0</v>
      </c>
      <c r="S185" s="468">
        <f t="shared" si="18"/>
        <v>0</v>
      </c>
      <c r="T185" s="468">
        <f t="shared" si="18"/>
        <v>0</v>
      </c>
    </row>
    <row r="186" spans="1:20">
      <c r="A186" s="422"/>
      <c r="B186" s="429" t="s">
        <v>1421</v>
      </c>
      <c r="C186" s="469">
        <f>('[4]Bieu 57'!D186)/1000000</f>
        <v>3082</v>
      </c>
      <c r="D186" s="469">
        <f>('[4]Bieu 57'!I186)/1000000</f>
        <v>3082</v>
      </c>
      <c r="E186" s="346"/>
      <c r="F186" s="345">
        <f>D186</f>
        <v>3082</v>
      </c>
      <c r="G186" s="346"/>
      <c r="H186" s="346"/>
      <c r="I186" s="346"/>
      <c r="J186" s="346"/>
      <c r="K186" s="346"/>
      <c r="L186" s="346"/>
      <c r="M186" s="346"/>
      <c r="N186" s="346"/>
      <c r="O186" s="346"/>
      <c r="P186" s="346"/>
      <c r="Q186" s="346"/>
      <c r="R186" s="346"/>
      <c r="S186" s="346"/>
      <c r="T186" s="346"/>
    </row>
    <row r="187" spans="1:20">
      <c r="A187" s="422"/>
      <c r="B187" s="429" t="s">
        <v>1422</v>
      </c>
      <c r="C187" s="469">
        <f>('[4]Bieu 57'!D187)/1000000</f>
        <v>9928.8943479999998</v>
      </c>
      <c r="D187" s="469">
        <f>('[4]Bieu 57'!I187)/1000000</f>
        <v>6450.1869999999999</v>
      </c>
      <c r="E187" s="346"/>
      <c r="F187" s="345">
        <f t="shared" ref="F187:F195" si="19">D187</f>
        <v>6450.1869999999999</v>
      </c>
      <c r="G187" s="346"/>
      <c r="H187" s="346"/>
      <c r="I187" s="346"/>
      <c r="J187" s="346"/>
      <c r="K187" s="346"/>
      <c r="L187" s="346"/>
      <c r="M187" s="346"/>
      <c r="N187" s="346"/>
      <c r="O187" s="346"/>
      <c r="P187" s="346"/>
      <c r="Q187" s="346"/>
      <c r="R187" s="346"/>
      <c r="S187" s="346"/>
      <c r="T187" s="346"/>
    </row>
    <row r="188" spans="1:20">
      <c r="A188" s="422"/>
      <c r="B188" s="429" t="s">
        <v>1423</v>
      </c>
      <c r="C188" s="469">
        <f>('[4]Bieu 57'!D188)/1000000</f>
        <v>4175</v>
      </c>
      <c r="D188" s="469">
        <f>('[4]Bieu 57'!I188)/1000000</f>
        <v>0</v>
      </c>
      <c r="E188" s="346"/>
      <c r="F188" s="345">
        <f t="shared" si="19"/>
        <v>0</v>
      </c>
      <c r="G188" s="346"/>
      <c r="H188" s="346"/>
      <c r="I188" s="346"/>
      <c r="J188" s="346"/>
      <c r="K188" s="346"/>
      <c r="L188" s="346"/>
      <c r="M188" s="346"/>
      <c r="N188" s="346"/>
      <c r="O188" s="346"/>
      <c r="P188" s="346"/>
      <c r="Q188" s="346"/>
      <c r="R188" s="346"/>
      <c r="S188" s="346"/>
      <c r="T188" s="346"/>
    </row>
    <row r="189" spans="1:20">
      <c r="A189" s="422"/>
      <c r="B189" s="429" t="s">
        <v>1424</v>
      </c>
      <c r="C189" s="469">
        <f>('[4]Bieu 57'!D189)/1000000</f>
        <v>845</v>
      </c>
      <c r="D189" s="469">
        <f>('[4]Bieu 57'!I189)/1000000</f>
        <v>845</v>
      </c>
      <c r="E189" s="346"/>
      <c r="F189" s="345">
        <f t="shared" si="19"/>
        <v>845</v>
      </c>
      <c r="G189" s="346"/>
      <c r="H189" s="346"/>
      <c r="I189" s="346"/>
      <c r="J189" s="346"/>
      <c r="K189" s="346"/>
      <c r="L189" s="346"/>
      <c r="M189" s="346"/>
      <c r="N189" s="346"/>
      <c r="O189" s="346"/>
      <c r="P189" s="346"/>
      <c r="Q189" s="346"/>
      <c r="R189" s="346"/>
      <c r="S189" s="346"/>
      <c r="T189" s="346"/>
    </row>
    <row r="190" spans="1:20">
      <c r="A190" s="422"/>
      <c r="B190" s="429" t="s">
        <v>1425</v>
      </c>
      <c r="C190" s="469">
        <f>('[4]Bieu 57'!D190)/1000000</f>
        <v>1049.5</v>
      </c>
      <c r="D190" s="469">
        <f>('[4]Bieu 57'!I190)/1000000</f>
        <v>1049.5</v>
      </c>
      <c r="E190" s="346"/>
      <c r="F190" s="345">
        <f t="shared" si="19"/>
        <v>1049.5</v>
      </c>
      <c r="G190" s="346"/>
      <c r="H190" s="346"/>
      <c r="I190" s="346"/>
      <c r="J190" s="346"/>
      <c r="K190" s="346"/>
      <c r="L190" s="346"/>
      <c r="M190" s="346"/>
      <c r="N190" s="346"/>
      <c r="O190" s="346"/>
      <c r="P190" s="346"/>
      <c r="Q190" s="346"/>
      <c r="R190" s="346"/>
      <c r="S190" s="346"/>
      <c r="T190" s="346"/>
    </row>
    <row r="191" spans="1:20">
      <c r="A191" s="422"/>
      <c r="B191" s="437" t="s">
        <v>1426</v>
      </c>
      <c r="C191" s="469">
        <f>('[4]Bieu 57'!D191)/1000000</f>
        <v>1747.9</v>
      </c>
      <c r="D191" s="469">
        <f>('[4]Bieu 57'!I191)/1000000</f>
        <v>1747.9</v>
      </c>
      <c r="E191" s="346"/>
      <c r="F191" s="345">
        <f t="shared" si="19"/>
        <v>1747.9</v>
      </c>
      <c r="G191" s="346"/>
      <c r="H191" s="346"/>
      <c r="I191" s="346"/>
      <c r="J191" s="346"/>
      <c r="K191" s="346"/>
      <c r="L191" s="346"/>
      <c r="M191" s="346"/>
      <c r="N191" s="346"/>
      <c r="O191" s="346"/>
      <c r="P191" s="346"/>
      <c r="Q191" s="346"/>
      <c r="R191" s="346"/>
      <c r="S191" s="346"/>
      <c r="T191" s="346"/>
    </row>
    <row r="192" spans="1:20">
      <c r="A192" s="422"/>
      <c r="B192" s="437" t="s">
        <v>1427</v>
      </c>
      <c r="C192" s="469">
        <f>('[4]Bieu 57'!D192)/1000000</f>
        <v>2693.252</v>
      </c>
      <c r="D192" s="469">
        <f>('[4]Bieu 57'!I192)/1000000</f>
        <v>2693.252</v>
      </c>
      <c r="E192" s="346"/>
      <c r="F192" s="345">
        <f t="shared" si="19"/>
        <v>2693.252</v>
      </c>
      <c r="G192" s="346"/>
      <c r="H192" s="346"/>
      <c r="I192" s="346"/>
      <c r="J192" s="346"/>
      <c r="K192" s="346"/>
      <c r="L192" s="346"/>
      <c r="M192" s="346"/>
      <c r="N192" s="346"/>
      <c r="O192" s="346"/>
      <c r="P192" s="346"/>
      <c r="Q192" s="346"/>
      <c r="R192" s="346"/>
      <c r="S192" s="346"/>
      <c r="T192" s="346"/>
    </row>
    <row r="193" spans="1:20">
      <c r="A193" s="422"/>
      <c r="B193" s="437" t="s">
        <v>1428</v>
      </c>
      <c r="C193" s="469">
        <f>('[4]Bieu 57'!D193)/1000000</f>
        <v>180</v>
      </c>
      <c r="D193" s="469">
        <f>('[4]Bieu 57'!I193)/1000000</f>
        <v>180</v>
      </c>
      <c r="E193" s="346"/>
      <c r="F193" s="345">
        <f t="shared" si="19"/>
        <v>180</v>
      </c>
      <c r="G193" s="346"/>
      <c r="H193" s="346"/>
      <c r="I193" s="346"/>
      <c r="J193" s="346"/>
      <c r="K193" s="346"/>
      <c r="L193" s="346"/>
      <c r="M193" s="346"/>
      <c r="N193" s="346"/>
      <c r="O193" s="346"/>
      <c r="P193" s="346"/>
      <c r="Q193" s="346"/>
      <c r="R193" s="346"/>
      <c r="S193" s="346"/>
      <c r="T193" s="346"/>
    </row>
    <row r="194" spans="1:20">
      <c r="A194" s="422"/>
      <c r="B194" s="424" t="s">
        <v>1429</v>
      </c>
      <c r="C194" s="469">
        <f>('[4]Bieu 57'!D194)/1000000</f>
        <v>548</v>
      </c>
      <c r="D194" s="469">
        <f>('[4]Bieu 57'!I194)/1000000</f>
        <v>548</v>
      </c>
      <c r="E194" s="346"/>
      <c r="F194" s="345">
        <f t="shared" si="19"/>
        <v>548</v>
      </c>
      <c r="G194" s="346"/>
      <c r="H194" s="346"/>
      <c r="I194" s="346"/>
      <c r="J194" s="346"/>
      <c r="K194" s="346"/>
      <c r="L194" s="346"/>
      <c r="M194" s="346"/>
      <c r="N194" s="346"/>
      <c r="O194" s="346"/>
      <c r="P194" s="346"/>
      <c r="Q194" s="346"/>
      <c r="R194" s="346"/>
      <c r="S194" s="346"/>
      <c r="T194" s="346"/>
    </row>
    <row r="195" spans="1:20">
      <c r="A195" s="422"/>
      <c r="B195" s="424" t="s">
        <v>1430</v>
      </c>
      <c r="C195" s="469">
        <f>('[4]Bieu 57'!D195)/1000000</f>
        <v>152.5</v>
      </c>
      <c r="D195" s="345">
        <f>'[4]Bieu 57'!I195</f>
        <v>0</v>
      </c>
      <c r="E195" s="346"/>
      <c r="F195" s="345">
        <f t="shared" si="19"/>
        <v>0</v>
      </c>
      <c r="G195" s="346"/>
      <c r="H195" s="346"/>
      <c r="I195" s="346"/>
      <c r="J195" s="346"/>
      <c r="K195" s="346"/>
      <c r="L195" s="346"/>
      <c r="M195" s="346"/>
      <c r="N195" s="346"/>
      <c r="O195" s="346"/>
      <c r="P195" s="346"/>
      <c r="Q195" s="346"/>
      <c r="R195" s="346"/>
      <c r="S195" s="346"/>
      <c r="T195" s="346"/>
    </row>
    <row r="196" spans="1:20" s="421" customFormat="1">
      <c r="A196" s="426" t="s">
        <v>26</v>
      </c>
      <c r="B196" s="361" t="s">
        <v>1431</v>
      </c>
      <c r="C196" s="468">
        <f>C197+C225+C245+C254+C256+C257+C259</f>
        <v>265563.29783900001</v>
      </c>
      <c r="D196" s="468">
        <f>D197+D225+D245+D254+D256+D257+D259</f>
        <v>219145.98280300002</v>
      </c>
      <c r="E196" s="468">
        <f t="shared" ref="E196:T196" si="20">E197+E225+E245+E254+E256+E257+E259</f>
        <v>0</v>
      </c>
      <c r="F196" s="468">
        <f t="shared" si="20"/>
        <v>0</v>
      </c>
      <c r="G196" s="468">
        <f t="shared" si="20"/>
        <v>0</v>
      </c>
      <c r="H196" s="468">
        <f t="shared" si="20"/>
        <v>0</v>
      </c>
      <c r="I196" s="468">
        <f t="shared" si="20"/>
        <v>219145.98280300002</v>
      </c>
      <c r="J196" s="468">
        <f t="shared" si="20"/>
        <v>0</v>
      </c>
      <c r="K196" s="468">
        <f t="shared" si="20"/>
        <v>0</v>
      </c>
      <c r="L196" s="468">
        <f t="shared" si="20"/>
        <v>0</v>
      </c>
      <c r="M196" s="468">
        <f t="shared" si="20"/>
        <v>0</v>
      </c>
      <c r="N196" s="468">
        <f t="shared" si="20"/>
        <v>0</v>
      </c>
      <c r="O196" s="468">
        <f t="shared" si="20"/>
        <v>0</v>
      </c>
      <c r="P196" s="468">
        <f t="shared" si="20"/>
        <v>0</v>
      </c>
      <c r="Q196" s="468">
        <f t="shared" si="20"/>
        <v>0</v>
      </c>
      <c r="R196" s="468">
        <f t="shared" si="20"/>
        <v>0</v>
      </c>
      <c r="S196" s="468">
        <f t="shared" si="20"/>
        <v>0</v>
      </c>
      <c r="T196" s="468">
        <f t="shared" si="20"/>
        <v>0</v>
      </c>
    </row>
    <row r="197" spans="1:20" s="421" customFormat="1" ht="13.5">
      <c r="A197" s="438">
        <v>1</v>
      </c>
      <c r="B197" s="439" t="s">
        <v>1432</v>
      </c>
      <c r="C197" s="472">
        <f>SUM(C198:C224)</f>
        <v>210063.64783900004</v>
      </c>
      <c r="D197" s="472">
        <f t="shared" ref="D197:T197" si="21">SUM(D198:D224)</f>
        <v>186477.39220300002</v>
      </c>
      <c r="E197" s="472">
        <f t="shared" si="21"/>
        <v>0</v>
      </c>
      <c r="F197" s="472">
        <f t="shared" si="21"/>
        <v>0</v>
      </c>
      <c r="G197" s="472">
        <f t="shared" si="21"/>
        <v>0</v>
      </c>
      <c r="H197" s="472">
        <f t="shared" si="21"/>
        <v>0</v>
      </c>
      <c r="I197" s="472">
        <f t="shared" si="21"/>
        <v>186477.39220300002</v>
      </c>
      <c r="J197" s="472">
        <f t="shared" si="21"/>
        <v>0</v>
      </c>
      <c r="K197" s="472">
        <f t="shared" si="21"/>
        <v>0</v>
      </c>
      <c r="L197" s="472">
        <f t="shared" si="21"/>
        <v>0</v>
      </c>
      <c r="M197" s="472">
        <f t="shared" si="21"/>
        <v>0</v>
      </c>
      <c r="N197" s="472">
        <f t="shared" si="21"/>
        <v>0</v>
      </c>
      <c r="O197" s="472">
        <f t="shared" si="21"/>
        <v>0</v>
      </c>
      <c r="P197" s="472">
        <f t="shared" si="21"/>
        <v>0</v>
      </c>
      <c r="Q197" s="472">
        <f t="shared" si="21"/>
        <v>0</v>
      </c>
      <c r="R197" s="472">
        <f t="shared" si="21"/>
        <v>0</v>
      </c>
      <c r="S197" s="472">
        <f t="shared" si="21"/>
        <v>0</v>
      </c>
      <c r="T197" s="472">
        <f t="shared" si="21"/>
        <v>0</v>
      </c>
    </row>
    <row r="198" spans="1:20">
      <c r="A198" s="422"/>
      <c r="B198" s="429" t="s">
        <v>1433</v>
      </c>
      <c r="C198" s="469">
        <f>('[4]Bieu 57'!D198)/1000000</f>
        <v>12315.94</v>
      </c>
      <c r="D198" s="469">
        <f>('[4]Bieu 57'!I198)/1000000</f>
        <v>11501.950500000001</v>
      </c>
      <c r="E198" s="467"/>
      <c r="F198" s="467"/>
      <c r="G198" s="467"/>
      <c r="H198" s="467"/>
      <c r="I198" s="345">
        <f>D198</f>
        <v>11501.950500000001</v>
      </c>
      <c r="J198" s="467"/>
      <c r="K198" s="467"/>
      <c r="L198" s="467"/>
      <c r="M198" s="467"/>
      <c r="N198" s="467"/>
      <c r="O198" s="467"/>
      <c r="P198" s="467"/>
      <c r="Q198" s="467"/>
      <c r="R198" s="467"/>
      <c r="S198" s="467"/>
      <c r="T198" s="467"/>
    </row>
    <row r="199" spans="1:20">
      <c r="A199" s="422"/>
      <c r="B199" s="427" t="s">
        <v>1434</v>
      </c>
      <c r="C199" s="469">
        <f>('[4]Bieu 57'!D199)/1000000</f>
        <v>169.589</v>
      </c>
      <c r="D199" s="469">
        <f>('[4]Bieu 57'!I199)/1000000</f>
        <v>169.589</v>
      </c>
      <c r="E199" s="467"/>
      <c r="F199" s="467"/>
      <c r="G199" s="467"/>
      <c r="H199" s="467"/>
      <c r="I199" s="345">
        <f t="shared" ref="I199:I224" si="22">D199</f>
        <v>169.589</v>
      </c>
      <c r="J199" s="467"/>
      <c r="K199" s="467"/>
      <c r="L199" s="467"/>
      <c r="M199" s="467"/>
      <c r="N199" s="467"/>
      <c r="O199" s="467"/>
      <c r="P199" s="467"/>
      <c r="Q199" s="467"/>
      <c r="R199" s="467"/>
      <c r="S199" s="467"/>
      <c r="T199" s="467"/>
    </row>
    <row r="200" spans="1:20">
      <c r="A200" s="422"/>
      <c r="B200" s="440" t="s">
        <v>1435</v>
      </c>
      <c r="C200" s="469">
        <f>('[4]Bieu 57'!D200)/1000000</f>
        <v>11686</v>
      </c>
      <c r="D200" s="469">
        <f>('[4]Bieu 57'!I200)/1000000</f>
        <v>6584</v>
      </c>
      <c r="E200" s="467"/>
      <c r="F200" s="467"/>
      <c r="G200" s="467"/>
      <c r="H200" s="467"/>
      <c r="I200" s="345">
        <f t="shared" si="22"/>
        <v>6584</v>
      </c>
      <c r="J200" s="467"/>
      <c r="K200" s="467"/>
      <c r="L200" s="467"/>
      <c r="M200" s="467"/>
      <c r="N200" s="467"/>
      <c r="O200" s="467"/>
      <c r="P200" s="467"/>
      <c r="Q200" s="467"/>
      <c r="R200" s="467"/>
      <c r="S200" s="467"/>
      <c r="T200" s="467"/>
    </row>
    <row r="201" spans="1:20">
      <c r="A201" s="422"/>
      <c r="B201" s="440" t="s">
        <v>1436</v>
      </c>
      <c r="C201" s="469">
        <f>('[4]Bieu 57'!D201)/1000000</f>
        <v>5091.3531240000002</v>
      </c>
      <c r="D201" s="469">
        <f>('[4]Bieu 57'!I201)/1000000</f>
        <v>3011.3531240000002</v>
      </c>
      <c r="E201" s="467"/>
      <c r="F201" s="467"/>
      <c r="G201" s="467"/>
      <c r="H201" s="467"/>
      <c r="I201" s="345">
        <f t="shared" si="22"/>
        <v>3011.3531240000002</v>
      </c>
      <c r="J201" s="467"/>
      <c r="K201" s="467"/>
      <c r="L201" s="467"/>
      <c r="M201" s="467"/>
      <c r="N201" s="467"/>
      <c r="O201" s="467"/>
      <c r="P201" s="467"/>
      <c r="Q201" s="467"/>
      <c r="R201" s="467"/>
      <c r="S201" s="467"/>
      <c r="T201" s="467"/>
    </row>
    <row r="202" spans="1:20">
      <c r="A202" s="422"/>
      <c r="B202" s="440" t="s">
        <v>1317</v>
      </c>
      <c r="C202" s="469">
        <f>('[4]Bieu 57'!D202)/1000000</f>
        <v>2989.5233870000002</v>
      </c>
      <c r="D202" s="469">
        <f>('[4]Bieu 57'!I202)/1000000</f>
        <v>2666.5233870000002</v>
      </c>
      <c r="E202" s="467"/>
      <c r="F202" s="467"/>
      <c r="G202" s="467"/>
      <c r="H202" s="467"/>
      <c r="I202" s="345">
        <f t="shared" si="22"/>
        <v>2666.5233870000002</v>
      </c>
      <c r="J202" s="467"/>
      <c r="K202" s="467"/>
      <c r="L202" s="467"/>
      <c r="M202" s="467"/>
      <c r="N202" s="467"/>
      <c r="O202" s="467"/>
      <c r="P202" s="467"/>
      <c r="Q202" s="467"/>
      <c r="R202" s="467"/>
      <c r="S202" s="467"/>
      <c r="T202" s="467"/>
    </row>
    <row r="203" spans="1:20">
      <c r="A203" s="422"/>
      <c r="B203" s="440" t="s">
        <v>1437</v>
      </c>
      <c r="C203" s="469">
        <f>('[4]Bieu 57'!D203)/1000000</f>
        <v>4470</v>
      </c>
      <c r="D203" s="469">
        <f>('[4]Bieu 57'!I203)/1000000</f>
        <v>4200</v>
      </c>
      <c r="E203" s="467"/>
      <c r="F203" s="467"/>
      <c r="G203" s="467"/>
      <c r="H203" s="467"/>
      <c r="I203" s="345">
        <f t="shared" si="22"/>
        <v>4200</v>
      </c>
      <c r="J203" s="467"/>
      <c r="K203" s="467"/>
      <c r="L203" s="467"/>
      <c r="M203" s="467"/>
      <c r="N203" s="467"/>
      <c r="O203" s="467"/>
      <c r="P203" s="467"/>
      <c r="Q203" s="467"/>
      <c r="R203" s="467"/>
      <c r="S203" s="467"/>
      <c r="T203" s="467"/>
    </row>
    <row r="204" spans="1:20">
      <c r="A204" s="422"/>
      <c r="B204" s="440" t="s">
        <v>1319</v>
      </c>
      <c r="C204" s="469">
        <f>('[4]Bieu 57'!D204)/1000000</f>
        <v>2018</v>
      </c>
      <c r="D204" s="469">
        <f>('[4]Bieu 57'!I204)/1000000</f>
        <v>1906</v>
      </c>
      <c r="E204" s="467"/>
      <c r="F204" s="467"/>
      <c r="G204" s="467"/>
      <c r="H204" s="467"/>
      <c r="I204" s="345">
        <f t="shared" si="22"/>
        <v>1906</v>
      </c>
      <c r="J204" s="467"/>
      <c r="K204" s="467"/>
      <c r="L204" s="467"/>
      <c r="M204" s="467"/>
      <c r="N204" s="467"/>
      <c r="O204" s="467"/>
      <c r="P204" s="467"/>
      <c r="Q204" s="467"/>
      <c r="R204" s="467"/>
      <c r="S204" s="467"/>
      <c r="T204" s="467"/>
    </row>
    <row r="205" spans="1:20">
      <c r="A205" s="422"/>
      <c r="B205" s="441" t="s">
        <v>1438</v>
      </c>
      <c r="C205" s="469">
        <f>('[4]Bieu 57'!D205)/1000000</f>
        <v>20321.887583</v>
      </c>
      <c r="D205" s="469">
        <f>('[4]Bieu 57'!I205)/1000000</f>
        <v>17571.728389</v>
      </c>
      <c r="E205" s="467"/>
      <c r="F205" s="467"/>
      <c r="G205" s="467"/>
      <c r="H205" s="467"/>
      <c r="I205" s="345">
        <f t="shared" si="22"/>
        <v>17571.728389</v>
      </c>
      <c r="J205" s="467"/>
      <c r="K205" s="467"/>
      <c r="L205" s="467"/>
      <c r="M205" s="467"/>
      <c r="N205" s="467"/>
      <c r="O205" s="467"/>
      <c r="P205" s="467"/>
      <c r="Q205" s="467"/>
      <c r="R205" s="467"/>
      <c r="S205" s="467"/>
      <c r="T205" s="467"/>
    </row>
    <row r="206" spans="1:20">
      <c r="A206" s="422"/>
      <c r="B206" s="442" t="s">
        <v>1439</v>
      </c>
      <c r="C206" s="469">
        <f>('[4]Bieu 57'!D206)/1000000</f>
        <v>16934.570619999999</v>
      </c>
      <c r="D206" s="469">
        <f>('[4]Bieu 57'!I206)/1000000</f>
        <v>14947.41574</v>
      </c>
      <c r="E206" s="467"/>
      <c r="F206" s="467"/>
      <c r="G206" s="467"/>
      <c r="H206" s="467"/>
      <c r="I206" s="345">
        <f t="shared" si="22"/>
        <v>14947.41574</v>
      </c>
      <c r="J206" s="467"/>
      <c r="K206" s="467"/>
      <c r="L206" s="467"/>
      <c r="M206" s="467"/>
      <c r="N206" s="467"/>
      <c r="O206" s="467"/>
      <c r="P206" s="467"/>
      <c r="Q206" s="467"/>
      <c r="R206" s="467"/>
      <c r="S206" s="467"/>
      <c r="T206" s="467"/>
    </row>
    <row r="207" spans="1:20">
      <c r="A207" s="422"/>
      <c r="B207" s="441" t="s">
        <v>1440</v>
      </c>
      <c r="C207" s="469">
        <f>('[4]Bieu 57'!D207)/1000000</f>
        <v>25630.549232000001</v>
      </c>
      <c r="D207" s="469">
        <f>('[4]Bieu 57'!I207)/1000000</f>
        <v>22254.780567000002</v>
      </c>
      <c r="E207" s="467"/>
      <c r="F207" s="467"/>
      <c r="G207" s="467"/>
      <c r="H207" s="467"/>
      <c r="I207" s="345">
        <f t="shared" si="22"/>
        <v>22254.780567000002</v>
      </c>
      <c r="J207" s="467"/>
      <c r="K207" s="467"/>
      <c r="L207" s="467"/>
      <c r="M207" s="467"/>
      <c r="N207" s="467"/>
      <c r="O207" s="467"/>
      <c r="P207" s="467"/>
      <c r="Q207" s="467"/>
      <c r="R207" s="467"/>
      <c r="S207" s="467"/>
      <c r="T207" s="467"/>
    </row>
    <row r="208" spans="1:20">
      <c r="A208" s="422"/>
      <c r="B208" s="441" t="s">
        <v>1441</v>
      </c>
      <c r="C208" s="469">
        <f>('[4]Bieu 57'!D208)/1000000</f>
        <v>14884.892</v>
      </c>
      <c r="D208" s="469">
        <f>('[4]Bieu 57'!I208)/1000000</f>
        <v>13685.664924999999</v>
      </c>
      <c r="E208" s="467"/>
      <c r="F208" s="467"/>
      <c r="G208" s="467"/>
      <c r="H208" s="467"/>
      <c r="I208" s="345">
        <f t="shared" si="22"/>
        <v>13685.664924999999</v>
      </c>
      <c r="J208" s="467"/>
      <c r="K208" s="467"/>
      <c r="L208" s="467"/>
      <c r="M208" s="467"/>
      <c r="N208" s="467"/>
      <c r="O208" s="467"/>
      <c r="P208" s="467"/>
      <c r="Q208" s="467"/>
      <c r="R208" s="467"/>
      <c r="S208" s="467"/>
      <c r="T208" s="467"/>
    </row>
    <row r="209" spans="1:20">
      <c r="A209" s="422"/>
      <c r="B209" s="441" t="s">
        <v>1442</v>
      </c>
      <c r="C209" s="469">
        <f>('[4]Bieu 57'!D209)/1000000</f>
        <v>10712.429</v>
      </c>
      <c r="D209" s="469">
        <f>('[4]Bieu 57'!I209)/1000000</f>
        <v>9690.6609750000007</v>
      </c>
      <c r="E209" s="467"/>
      <c r="F209" s="467"/>
      <c r="G209" s="467"/>
      <c r="H209" s="467"/>
      <c r="I209" s="345">
        <f t="shared" si="22"/>
        <v>9690.6609750000007</v>
      </c>
      <c r="J209" s="467"/>
      <c r="K209" s="467"/>
      <c r="L209" s="467"/>
      <c r="M209" s="467"/>
      <c r="N209" s="467"/>
      <c r="O209" s="467"/>
      <c r="P209" s="467"/>
      <c r="Q209" s="467"/>
      <c r="R209" s="467"/>
      <c r="S209" s="467"/>
      <c r="T209" s="467"/>
    </row>
    <row r="210" spans="1:20">
      <c r="A210" s="422"/>
      <c r="B210" s="441" t="s">
        <v>1443</v>
      </c>
      <c r="C210" s="469">
        <f>('[4]Bieu 57'!D210)/1000000</f>
        <v>16724.617695000001</v>
      </c>
      <c r="D210" s="469">
        <f>('[4]Bieu 57'!I210)/1000000</f>
        <v>15525.055763</v>
      </c>
      <c r="E210" s="467"/>
      <c r="F210" s="467"/>
      <c r="G210" s="467"/>
      <c r="H210" s="467"/>
      <c r="I210" s="345">
        <f t="shared" si="22"/>
        <v>15525.055763</v>
      </c>
      <c r="J210" s="467"/>
      <c r="K210" s="467"/>
      <c r="L210" s="467"/>
      <c r="M210" s="467"/>
      <c r="N210" s="467"/>
      <c r="O210" s="467"/>
      <c r="P210" s="467"/>
      <c r="Q210" s="467"/>
      <c r="R210" s="467"/>
      <c r="S210" s="467"/>
      <c r="T210" s="467"/>
    </row>
    <row r="211" spans="1:20">
      <c r="A211" s="422"/>
      <c r="B211" s="442" t="s">
        <v>1444</v>
      </c>
      <c r="C211" s="469">
        <f>('[4]Bieu 57'!D211)/1000000</f>
        <v>16505.664698</v>
      </c>
      <c r="D211" s="469">
        <f>('[4]Bieu 57'!I211)/1000000</f>
        <v>15435.664698</v>
      </c>
      <c r="E211" s="467"/>
      <c r="F211" s="467"/>
      <c r="G211" s="467"/>
      <c r="H211" s="467"/>
      <c r="I211" s="345">
        <f t="shared" si="22"/>
        <v>15435.664698</v>
      </c>
      <c r="J211" s="467"/>
      <c r="K211" s="467"/>
      <c r="L211" s="467"/>
      <c r="M211" s="467"/>
      <c r="N211" s="467"/>
      <c r="O211" s="467"/>
      <c r="P211" s="467"/>
      <c r="Q211" s="467"/>
      <c r="R211" s="467"/>
      <c r="S211" s="467"/>
      <c r="T211" s="467"/>
    </row>
    <row r="212" spans="1:20">
      <c r="A212" s="422"/>
      <c r="B212" s="441" t="s">
        <v>1445</v>
      </c>
      <c r="C212" s="469">
        <f>('[4]Bieu 57'!D212)/1000000</f>
        <v>11225.095499999999</v>
      </c>
      <c r="D212" s="469">
        <f>('[4]Bieu 57'!I212)/1000000</f>
        <v>9674.3040000000001</v>
      </c>
      <c r="E212" s="467"/>
      <c r="F212" s="467"/>
      <c r="G212" s="467"/>
      <c r="H212" s="467"/>
      <c r="I212" s="345">
        <f t="shared" si="22"/>
        <v>9674.3040000000001</v>
      </c>
      <c r="J212" s="467"/>
      <c r="K212" s="467"/>
      <c r="L212" s="467"/>
      <c r="M212" s="467"/>
      <c r="N212" s="467"/>
      <c r="O212" s="467"/>
      <c r="P212" s="467"/>
      <c r="Q212" s="467"/>
      <c r="R212" s="467"/>
      <c r="S212" s="467"/>
      <c r="T212" s="467"/>
    </row>
    <row r="213" spans="1:20">
      <c r="A213" s="422"/>
      <c r="B213" s="441" t="s">
        <v>1446</v>
      </c>
      <c r="C213" s="469">
        <f>('[4]Bieu 57'!D213)/1000000</f>
        <v>7759.98</v>
      </c>
      <c r="D213" s="469">
        <f>('[4]Bieu 57'!I213)/1000000</f>
        <v>7466.4945440000001</v>
      </c>
      <c r="E213" s="467"/>
      <c r="F213" s="467"/>
      <c r="G213" s="467"/>
      <c r="H213" s="467"/>
      <c r="I213" s="345">
        <f t="shared" si="22"/>
        <v>7466.4945440000001</v>
      </c>
      <c r="J213" s="467"/>
      <c r="K213" s="467"/>
      <c r="L213" s="467"/>
      <c r="M213" s="467"/>
      <c r="N213" s="467"/>
      <c r="O213" s="467"/>
      <c r="P213" s="467"/>
      <c r="Q213" s="467"/>
      <c r="R213" s="467"/>
      <c r="S213" s="467"/>
      <c r="T213" s="467"/>
    </row>
    <row r="214" spans="1:20">
      <c r="A214" s="422"/>
      <c r="B214" s="441" t="s">
        <v>1447</v>
      </c>
      <c r="C214" s="469">
        <f>('[4]Bieu 57'!D214)/1000000</f>
        <v>522.38599999999997</v>
      </c>
      <c r="D214" s="469">
        <f>('[4]Bieu 57'!I214)/1000000</f>
        <v>469.73599999999999</v>
      </c>
      <c r="E214" s="467"/>
      <c r="F214" s="467"/>
      <c r="G214" s="467"/>
      <c r="H214" s="467"/>
      <c r="I214" s="345">
        <f t="shared" si="22"/>
        <v>469.73599999999999</v>
      </c>
      <c r="J214" s="467"/>
      <c r="K214" s="467"/>
      <c r="L214" s="467"/>
      <c r="M214" s="467"/>
      <c r="N214" s="467"/>
      <c r="O214" s="467"/>
      <c r="P214" s="467"/>
      <c r="Q214" s="467"/>
      <c r="R214" s="467"/>
      <c r="S214" s="467"/>
      <c r="T214" s="467"/>
    </row>
    <row r="215" spans="1:20">
      <c r="A215" s="422"/>
      <c r="B215" s="441" t="s">
        <v>1331</v>
      </c>
      <c r="C215" s="469">
        <f>('[4]Bieu 57'!D215)/1000000</f>
        <v>14127.645</v>
      </c>
      <c r="D215" s="469">
        <f>('[4]Bieu 57'!I215)/1000000</f>
        <v>13744.645</v>
      </c>
      <c r="E215" s="467"/>
      <c r="F215" s="467"/>
      <c r="G215" s="467"/>
      <c r="H215" s="467"/>
      <c r="I215" s="345">
        <f t="shared" si="22"/>
        <v>13744.645</v>
      </c>
      <c r="J215" s="467"/>
      <c r="K215" s="467"/>
      <c r="L215" s="467"/>
      <c r="M215" s="467"/>
      <c r="N215" s="467"/>
      <c r="O215" s="467"/>
      <c r="P215" s="467"/>
      <c r="Q215" s="467"/>
      <c r="R215" s="467"/>
      <c r="S215" s="467"/>
      <c r="T215" s="467"/>
    </row>
    <row r="216" spans="1:20">
      <c r="A216" s="422"/>
      <c r="B216" s="441" t="s">
        <v>1448</v>
      </c>
      <c r="C216" s="469">
        <f>('[4]Bieu 57'!D216)/1000000</f>
        <v>2140</v>
      </c>
      <c r="D216" s="469">
        <f>('[4]Bieu 57'!I216)/1000000</f>
        <v>2140</v>
      </c>
      <c r="E216" s="467"/>
      <c r="F216" s="467"/>
      <c r="G216" s="467"/>
      <c r="H216" s="467"/>
      <c r="I216" s="345">
        <f t="shared" si="22"/>
        <v>2140</v>
      </c>
      <c r="J216" s="467"/>
      <c r="K216" s="467"/>
      <c r="L216" s="467"/>
      <c r="M216" s="467"/>
      <c r="N216" s="467"/>
      <c r="O216" s="467"/>
      <c r="P216" s="467"/>
      <c r="Q216" s="467"/>
      <c r="R216" s="467"/>
      <c r="S216" s="467"/>
      <c r="T216" s="467"/>
    </row>
    <row r="217" spans="1:20">
      <c r="A217" s="422"/>
      <c r="B217" s="441" t="s">
        <v>1449</v>
      </c>
      <c r="C217" s="469">
        <f>('[4]Bieu 57'!D217)/1000000</f>
        <v>2061.88</v>
      </c>
      <c r="D217" s="469">
        <f>('[4]Bieu 57'!I217)/1000000</f>
        <v>2061.88</v>
      </c>
      <c r="E217" s="467"/>
      <c r="F217" s="467"/>
      <c r="G217" s="467"/>
      <c r="H217" s="467"/>
      <c r="I217" s="345">
        <f t="shared" si="22"/>
        <v>2061.88</v>
      </c>
      <c r="J217" s="467"/>
      <c r="K217" s="467"/>
      <c r="L217" s="467"/>
      <c r="M217" s="467"/>
      <c r="N217" s="467"/>
      <c r="O217" s="467"/>
      <c r="P217" s="467"/>
      <c r="Q217" s="467"/>
      <c r="R217" s="467"/>
      <c r="S217" s="467"/>
      <c r="T217" s="467"/>
    </row>
    <row r="218" spans="1:20">
      <c r="A218" s="422"/>
      <c r="B218" s="441" t="s">
        <v>1450</v>
      </c>
      <c r="C218" s="469">
        <f>('[4]Bieu 57'!D218)/1000000</f>
        <v>3693.44</v>
      </c>
      <c r="D218" s="469">
        <f>('[4]Bieu 57'!I218)/1000000</f>
        <v>3693.44</v>
      </c>
      <c r="E218" s="467"/>
      <c r="F218" s="467"/>
      <c r="G218" s="467"/>
      <c r="H218" s="467"/>
      <c r="I218" s="345">
        <f t="shared" si="22"/>
        <v>3693.44</v>
      </c>
      <c r="J218" s="467"/>
      <c r="K218" s="467"/>
      <c r="L218" s="467"/>
      <c r="M218" s="467"/>
      <c r="N218" s="467"/>
      <c r="O218" s="467"/>
      <c r="P218" s="467"/>
      <c r="Q218" s="467"/>
      <c r="R218" s="467"/>
      <c r="S218" s="467"/>
      <c r="T218" s="467"/>
    </row>
    <row r="219" spans="1:20">
      <c r="A219" s="422"/>
      <c r="B219" s="441" t="s">
        <v>1451</v>
      </c>
      <c r="C219" s="469">
        <f>('[4]Bieu 57'!D219)/1000000</f>
        <v>3381.44</v>
      </c>
      <c r="D219" s="469">
        <f>('[4]Bieu 57'!I219)/1000000</f>
        <v>3381.44</v>
      </c>
      <c r="E219" s="467"/>
      <c r="F219" s="467"/>
      <c r="G219" s="467"/>
      <c r="H219" s="467"/>
      <c r="I219" s="345">
        <f t="shared" si="22"/>
        <v>3381.44</v>
      </c>
      <c r="J219" s="467"/>
      <c r="K219" s="467"/>
      <c r="L219" s="467"/>
      <c r="M219" s="467"/>
      <c r="N219" s="467"/>
      <c r="O219" s="467"/>
      <c r="P219" s="467"/>
      <c r="Q219" s="467"/>
      <c r="R219" s="467"/>
      <c r="S219" s="467"/>
      <c r="T219" s="467"/>
    </row>
    <row r="220" spans="1:20">
      <c r="A220" s="422"/>
      <c r="B220" s="441" t="s">
        <v>1452</v>
      </c>
      <c r="C220" s="469">
        <f>('[4]Bieu 57'!D220)/1000000</f>
        <v>941</v>
      </c>
      <c r="D220" s="469">
        <f>('[4]Bieu 57'!I220)/1000000</f>
        <v>941</v>
      </c>
      <c r="E220" s="467"/>
      <c r="F220" s="467"/>
      <c r="G220" s="467"/>
      <c r="H220" s="467"/>
      <c r="I220" s="345">
        <f t="shared" si="22"/>
        <v>941</v>
      </c>
      <c r="J220" s="467"/>
      <c r="K220" s="467"/>
      <c r="L220" s="467"/>
      <c r="M220" s="467"/>
      <c r="N220" s="467"/>
      <c r="O220" s="467"/>
      <c r="P220" s="467"/>
      <c r="Q220" s="467"/>
      <c r="R220" s="467"/>
      <c r="S220" s="467"/>
      <c r="T220" s="467"/>
    </row>
    <row r="221" spans="1:20">
      <c r="A221" s="422"/>
      <c r="B221" s="441" t="s">
        <v>1336</v>
      </c>
      <c r="C221" s="469">
        <f>('[4]Bieu 57'!D221)/1000000</f>
        <v>1113</v>
      </c>
      <c r="D221" s="469">
        <f>('[4]Bieu 57'!I221)/1000000</f>
        <v>1113</v>
      </c>
      <c r="E221" s="467"/>
      <c r="F221" s="467"/>
      <c r="G221" s="467"/>
      <c r="H221" s="467"/>
      <c r="I221" s="345">
        <f t="shared" si="22"/>
        <v>1113</v>
      </c>
      <c r="J221" s="467"/>
      <c r="K221" s="467"/>
      <c r="L221" s="467"/>
      <c r="M221" s="467"/>
      <c r="N221" s="467"/>
      <c r="O221" s="467"/>
      <c r="P221" s="467"/>
      <c r="Q221" s="467"/>
      <c r="R221" s="467"/>
      <c r="S221" s="467"/>
      <c r="T221" s="467"/>
    </row>
    <row r="222" spans="1:20">
      <c r="A222" s="422"/>
      <c r="B222" s="441" t="s">
        <v>1453</v>
      </c>
      <c r="C222" s="469">
        <f>('[4]Bieu 57'!D222)/1000000</f>
        <v>2398</v>
      </c>
      <c r="D222" s="469">
        <f>('[4]Bieu 57'!I222)/1000000</f>
        <v>2396.3005910000002</v>
      </c>
      <c r="E222" s="467"/>
      <c r="F222" s="467"/>
      <c r="G222" s="467"/>
      <c r="H222" s="467"/>
      <c r="I222" s="345">
        <f t="shared" si="22"/>
        <v>2396.3005910000002</v>
      </c>
      <c r="J222" s="467"/>
      <c r="K222" s="467"/>
      <c r="L222" s="467"/>
      <c r="M222" s="467"/>
      <c r="N222" s="467"/>
      <c r="O222" s="467"/>
      <c r="P222" s="467"/>
      <c r="Q222" s="467"/>
      <c r="R222" s="467"/>
      <c r="S222" s="467"/>
      <c r="T222" s="467"/>
    </row>
    <row r="223" spans="1:20">
      <c r="A223" s="422"/>
      <c r="B223" s="441" t="s">
        <v>1454</v>
      </c>
      <c r="C223" s="469">
        <f>('[4]Bieu 57'!D223)/1000000</f>
        <v>244.76499999999999</v>
      </c>
      <c r="D223" s="469">
        <f>('[4]Bieu 57'!I223)/1000000</f>
        <v>244.76499999999999</v>
      </c>
      <c r="E223" s="467"/>
      <c r="F223" s="467"/>
      <c r="G223" s="467"/>
      <c r="H223" s="467"/>
      <c r="I223" s="345">
        <f t="shared" si="22"/>
        <v>244.76499999999999</v>
      </c>
      <c r="J223" s="467"/>
      <c r="K223" s="467"/>
      <c r="L223" s="467"/>
      <c r="M223" s="467"/>
      <c r="N223" s="467"/>
      <c r="O223" s="467"/>
      <c r="P223" s="467"/>
      <c r="Q223" s="467"/>
      <c r="R223" s="467"/>
      <c r="S223" s="467"/>
      <c r="T223" s="467"/>
    </row>
    <row r="224" spans="1:20">
      <c r="A224" s="422"/>
      <c r="B224" s="423"/>
      <c r="C224" s="471">
        <f>'[4]Bieu 57'!D224</f>
        <v>0</v>
      </c>
      <c r="D224" s="345">
        <f>'[4]Bieu 57'!I224</f>
        <v>0</v>
      </c>
      <c r="E224" s="467"/>
      <c r="F224" s="467"/>
      <c r="G224" s="467"/>
      <c r="H224" s="467"/>
      <c r="I224" s="345">
        <f t="shared" si="22"/>
        <v>0</v>
      </c>
      <c r="J224" s="467"/>
      <c r="K224" s="467"/>
      <c r="L224" s="467"/>
      <c r="M224" s="467"/>
      <c r="N224" s="467"/>
      <c r="O224" s="467"/>
      <c r="P224" s="467"/>
      <c r="Q224" s="467"/>
      <c r="R224" s="467"/>
      <c r="S224" s="467"/>
      <c r="T224" s="467"/>
    </row>
    <row r="225" spans="1:20" s="443" customFormat="1" ht="13.5">
      <c r="A225" s="438">
        <v>2</v>
      </c>
      <c r="B225" s="439" t="s">
        <v>1455</v>
      </c>
      <c r="C225" s="472">
        <f>C226+C237</f>
        <v>3979.85</v>
      </c>
      <c r="D225" s="472">
        <f t="shared" ref="D225:T225" si="23">D226+D237</f>
        <v>3040.9611</v>
      </c>
      <c r="E225" s="472">
        <f t="shared" si="23"/>
        <v>0</v>
      </c>
      <c r="F225" s="472">
        <f t="shared" si="23"/>
        <v>0</v>
      </c>
      <c r="G225" s="472">
        <f t="shared" si="23"/>
        <v>0</v>
      </c>
      <c r="H225" s="472">
        <f t="shared" si="23"/>
        <v>0</v>
      </c>
      <c r="I225" s="472">
        <f t="shared" si="23"/>
        <v>3040.9611</v>
      </c>
      <c r="J225" s="472">
        <f t="shared" si="23"/>
        <v>0</v>
      </c>
      <c r="K225" s="472">
        <f t="shared" si="23"/>
        <v>0</v>
      </c>
      <c r="L225" s="472">
        <f t="shared" si="23"/>
        <v>0</v>
      </c>
      <c r="M225" s="472">
        <f t="shared" si="23"/>
        <v>0</v>
      </c>
      <c r="N225" s="472">
        <f t="shared" si="23"/>
        <v>0</v>
      </c>
      <c r="O225" s="472">
        <f t="shared" si="23"/>
        <v>0</v>
      </c>
      <c r="P225" s="472">
        <f t="shared" si="23"/>
        <v>0</v>
      </c>
      <c r="Q225" s="472">
        <f t="shared" si="23"/>
        <v>0</v>
      </c>
      <c r="R225" s="472">
        <f t="shared" si="23"/>
        <v>0</v>
      </c>
      <c r="S225" s="472">
        <f t="shared" si="23"/>
        <v>0</v>
      </c>
      <c r="T225" s="472">
        <f t="shared" si="23"/>
        <v>0</v>
      </c>
    </row>
    <row r="226" spans="1:20" s="443" customFormat="1" ht="13.5">
      <c r="A226" s="438"/>
      <c r="B226" s="439" t="s">
        <v>1456</v>
      </c>
      <c r="C226" s="472">
        <f>SUM(C227:C236)</f>
        <v>2549.85</v>
      </c>
      <c r="D226" s="472">
        <f t="shared" ref="D226:T226" si="24">SUM(D227:D236)</f>
        <v>2432.9611</v>
      </c>
      <c r="E226" s="472">
        <f t="shared" si="24"/>
        <v>0</v>
      </c>
      <c r="F226" s="472">
        <f t="shared" si="24"/>
        <v>0</v>
      </c>
      <c r="G226" s="472">
        <f t="shared" si="24"/>
        <v>0</v>
      </c>
      <c r="H226" s="472">
        <f t="shared" si="24"/>
        <v>0</v>
      </c>
      <c r="I226" s="472">
        <f t="shared" si="24"/>
        <v>2432.9611</v>
      </c>
      <c r="J226" s="472">
        <f t="shared" si="24"/>
        <v>0</v>
      </c>
      <c r="K226" s="472">
        <f t="shared" si="24"/>
        <v>0</v>
      </c>
      <c r="L226" s="472">
        <f t="shared" si="24"/>
        <v>0</v>
      </c>
      <c r="M226" s="472">
        <f t="shared" si="24"/>
        <v>0</v>
      </c>
      <c r="N226" s="472">
        <f t="shared" si="24"/>
        <v>0</v>
      </c>
      <c r="O226" s="472">
        <f t="shared" si="24"/>
        <v>0</v>
      </c>
      <c r="P226" s="472">
        <f t="shared" si="24"/>
        <v>0</v>
      </c>
      <c r="Q226" s="472">
        <f t="shared" si="24"/>
        <v>0</v>
      </c>
      <c r="R226" s="472">
        <f t="shared" si="24"/>
        <v>0</v>
      </c>
      <c r="S226" s="472">
        <f t="shared" si="24"/>
        <v>0</v>
      </c>
      <c r="T226" s="472">
        <f t="shared" si="24"/>
        <v>0</v>
      </c>
    </row>
    <row r="227" spans="1:20">
      <c r="A227" s="422"/>
      <c r="B227" s="427" t="s">
        <v>1457</v>
      </c>
      <c r="C227" s="469">
        <f>('[4]Bieu 57'!D227)/1000000</f>
        <v>505.1</v>
      </c>
      <c r="D227" s="469">
        <f>('[4]Bieu 57'!I227)/1000000</f>
        <v>502.80900000000003</v>
      </c>
      <c r="E227" s="467"/>
      <c r="F227" s="467"/>
      <c r="G227" s="467"/>
      <c r="H227" s="467"/>
      <c r="I227" s="345">
        <f>D227</f>
        <v>502.80900000000003</v>
      </c>
      <c r="J227" s="467"/>
      <c r="K227" s="467"/>
      <c r="L227" s="467"/>
      <c r="M227" s="467"/>
      <c r="N227" s="467"/>
      <c r="O227" s="467"/>
      <c r="P227" s="467"/>
      <c r="Q227" s="467"/>
      <c r="R227" s="467"/>
      <c r="S227" s="467"/>
      <c r="T227" s="467"/>
    </row>
    <row r="228" spans="1:20">
      <c r="A228" s="422"/>
      <c r="B228" s="427" t="s">
        <v>1458</v>
      </c>
      <c r="C228" s="469">
        <f>('[4]Bieu 57'!D228)/1000000</f>
        <v>315.06</v>
      </c>
      <c r="D228" s="469">
        <f>('[4]Bieu 57'!I228)/1000000</f>
        <v>291.20260000000002</v>
      </c>
      <c r="E228" s="467"/>
      <c r="F228" s="467"/>
      <c r="G228" s="467"/>
      <c r="H228" s="467"/>
      <c r="I228" s="345">
        <f t="shared" ref="I228:I236" si="25">D228</f>
        <v>291.20260000000002</v>
      </c>
      <c r="J228" s="467"/>
      <c r="K228" s="467"/>
      <c r="L228" s="467"/>
      <c r="M228" s="467"/>
      <c r="N228" s="467"/>
      <c r="O228" s="467"/>
      <c r="P228" s="467"/>
      <c r="Q228" s="467"/>
      <c r="R228" s="467"/>
      <c r="S228" s="467"/>
      <c r="T228" s="467"/>
    </row>
    <row r="229" spans="1:20">
      <c r="A229" s="422"/>
      <c r="B229" s="427" t="s">
        <v>1459</v>
      </c>
      <c r="C229" s="469">
        <f>('[4]Bieu 57'!D229)/1000000</f>
        <v>258.77999999999997</v>
      </c>
      <c r="D229" s="469">
        <f>('[4]Bieu 57'!I229)/1000000</f>
        <v>227.79150000000001</v>
      </c>
      <c r="E229" s="467"/>
      <c r="F229" s="467"/>
      <c r="G229" s="467"/>
      <c r="H229" s="467"/>
      <c r="I229" s="345">
        <f t="shared" si="25"/>
        <v>227.79150000000001</v>
      </c>
      <c r="J229" s="467"/>
      <c r="K229" s="467"/>
      <c r="L229" s="467"/>
      <c r="M229" s="467"/>
      <c r="N229" s="467"/>
      <c r="O229" s="467"/>
      <c r="P229" s="467"/>
      <c r="Q229" s="467"/>
      <c r="R229" s="467"/>
      <c r="S229" s="467"/>
      <c r="T229" s="467"/>
    </row>
    <row r="230" spans="1:20">
      <c r="A230" s="422"/>
      <c r="B230" s="427" t="s">
        <v>1460</v>
      </c>
      <c r="C230" s="469">
        <f>('[4]Bieu 57'!D230)/1000000</f>
        <v>163.67500000000001</v>
      </c>
      <c r="D230" s="469">
        <f>('[4]Bieu 57'!I230)/1000000</f>
        <v>156.47499999999999</v>
      </c>
      <c r="E230" s="467"/>
      <c r="F230" s="467"/>
      <c r="G230" s="467"/>
      <c r="H230" s="467"/>
      <c r="I230" s="345">
        <f t="shared" si="25"/>
        <v>156.47499999999999</v>
      </c>
      <c r="J230" s="467"/>
      <c r="K230" s="467"/>
      <c r="L230" s="467"/>
      <c r="M230" s="467"/>
      <c r="N230" s="467"/>
      <c r="O230" s="467"/>
      <c r="P230" s="467"/>
      <c r="Q230" s="467"/>
      <c r="R230" s="467"/>
      <c r="S230" s="467"/>
      <c r="T230" s="467"/>
    </row>
    <row r="231" spans="1:20">
      <c r="A231" s="422"/>
      <c r="B231" s="427" t="s">
        <v>1461</v>
      </c>
      <c r="C231" s="469">
        <f>('[4]Bieu 57'!D231)/1000000</f>
        <v>256.43</v>
      </c>
      <c r="D231" s="469">
        <f>('[4]Bieu 57'!I231)/1000000</f>
        <v>237.44800000000001</v>
      </c>
      <c r="E231" s="467"/>
      <c r="F231" s="467"/>
      <c r="G231" s="467"/>
      <c r="H231" s="467"/>
      <c r="I231" s="345">
        <f t="shared" si="25"/>
        <v>237.44800000000001</v>
      </c>
      <c r="J231" s="467"/>
      <c r="K231" s="467"/>
      <c r="L231" s="467"/>
      <c r="M231" s="467"/>
      <c r="N231" s="467"/>
      <c r="O231" s="467"/>
      <c r="P231" s="467"/>
      <c r="Q231" s="467"/>
      <c r="R231" s="467"/>
      <c r="S231" s="467"/>
      <c r="T231" s="467"/>
    </row>
    <row r="232" spans="1:20">
      <c r="A232" s="422"/>
      <c r="B232" s="427" t="s">
        <v>1462</v>
      </c>
      <c r="C232" s="469">
        <f>('[4]Bieu 57'!D232)/1000000</f>
        <v>265.72500000000002</v>
      </c>
      <c r="D232" s="469">
        <f>('[4]Bieu 57'!I232)/1000000</f>
        <v>255.52500000000001</v>
      </c>
      <c r="E232" s="467"/>
      <c r="F232" s="467"/>
      <c r="G232" s="467"/>
      <c r="H232" s="467"/>
      <c r="I232" s="345">
        <f t="shared" si="25"/>
        <v>255.52500000000001</v>
      </c>
      <c r="J232" s="467"/>
      <c r="K232" s="467"/>
      <c r="L232" s="467"/>
      <c r="M232" s="467"/>
      <c r="N232" s="467"/>
      <c r="O232" s="467"/>
      <c r="P232" s="467"/>
      <c r="Q232" s="467"/>
      <c r="R232" s="467"/>
      <c r="S232" s="467"/>
      <c r="T232" s="467"/>
    </row>
    <row r="233" spans="1:20">
      <c r="A233" s="422"/>
      <c r="B233" s="427" t="s">
        <v>1463</v>
      </c>
      <c r="C233" s="469">
        <f>('[4]Bieu 57'!D233)/1000000</f>
        <v>268.935</v>
      </c>
      <c r="D233" s="469">
        <f>('[4]Bieu 57'!I233)/1000000</f>
        <v>258.13499999999999</v>
      </c>
      <c r="E233" s="467"/>
      <c r="F233" s="467"/>
      <c r="G233" s="467"/>
      <c r="H233" s="467"/>
      <c r="I233" s="345">
        <f t="shared" si="25"/>
        <v>258.13499999999999</v>
      </c>
      <c r="J233" s="467"/>
      <c r="K233" s="467"/>
      <c r="L233" s="467"/>
      <c r="M233" s="467"/>
      <c r="N233" s="467"/>
      <c r="O233" s="467"/>
      <c r="P233" s="467"/>
      <c r="Q233" s="467"/>
      <c r="R233" s="467"/>
      <c r="S233" s="467"/>
      <c r="T233" s="467"/>
    </row>
    <row r="234" spans="1:20">
      <c r="A234" s="422"/>
      <c r="B234" s="427" t="s">
        <v>1464</v>
      </c>
      <c r="C234" s="469">
        <f>('[4]Bieu 57'!D234)/1000000</f>
        <v>323.28500000000003</v>
      </c>
      <c r="D234" s="469">
        <f>('[4]Bieu 57'!I234)/1000000</f>
        <v>323.28500000000003</v>
      </c>
      <c r="E234" s="467"/>
      <c r="F234" s="467"/>
      <c r="G234" s="467"/>
      <c r="H234" s="467"/>
      <c r="I234" s="345">
        <f t="shared" si="25"/>
        <v>323.28500000000003</v>
      </c>
      <c r="J234" s="467"/>
      <c r="K234" s="467"/>
      <c r="L234" s="467"/>
      <c r="M234" s="467"/>
      <c r="N234" s="467"/>
      <c r="O234" s="467"/>
      <c r="P234" s="467"/>
      <c r="Q234" s="467"/>
      <c r="R234" s="467"/>
      <c r="S234" s="467"/>
      <c r="T234" s="467"/>
    </row>
    <row r="235" spans="1:20">
      <c r="A235" s="422"/>
      <c r="B235" s="427" t="s">
        <v>1465</v>
      </c>
      <c r="C235" s="469">
        <f>('[4]Bieu 57'!D235)/1000000</f>
        <v>54.814999999999998</v>
      </c>
      <c r="D235" s="469">
        <f>('[4]Bieu 57'!I235)/1000000</f>
        <v>51.814999999999998</v>
      </c>
      <c r="E235" s="467"/>
      <c r="F235" s="467"/>
      <c r="G235" s="467"/>
      <c r="H235" s="467"/>
      <c r="I235" s="345">
        <f t="shared" si="25"/>
        <v>51.814999999999998</v>
      </c>
      <c r="J235" s="467"/>
      <c r="K235" s="467"/>
      <c r="L235" s="467"/>
      <c r="M235" s="467"/>
      <c r="N235" s="467"/>
      <c r="O235" s="467"/>
      <c r="P235" s="467"/>
      <c r="Q235" s="467"/>
      <c r="R235" s="467"/>
      <c r="S235" s="467"/>
      <c r="T235" s="467"/>
    </row>
    <row r="236" spans="1:20">
      <c r="A236" s="422"/>
      <c r="B236" s="427" t="s">
        <v>1466</v>
      </c>
      <c r="C236" s="469">
        <f>('[4]Bieu 57'!D236)/1000000</f>
        <v>138.04499999999999</v>
      </c>
      <c r="D236" s="469">
        <f>('[4]Bieu 57'!I236)/1000000</f>
        <v>128.47499999999999</v>
      </c>
      <c r="E236" s="467"/>
      <c r="F236" s="467"/>
      <c r="G236" s="467"/>
      <c r="H236" s="467"/>
      <c r="I236" s="345">
        <f t="shared" si="25"/>
        <v>128.47499999999999</v>
      </c>
      <c r="J236" s="467"/>
      <c r="K236" s="467"/>
      <c r="L236" s="467"/>
      <c r="M236" s="467"/>
      <c r="N236" s="467"/>
      <c r="O236" s="467"/>
      <c r="P236" s="467"/>
      <c r="Q236" s="467"/>
      <c r="R236" s="467"/>
      <c r="S236" s="467"/>
      <c r="T236" s="467"/>
    </row>
    <row r="237" spans="1:20" s="443" customFormat="1" ht="13.5">
      <c r="A237" s="438"/>
      <c r="B237" s="444" t="s">
        <v>1467</v>
      </c>
      <c r="C237" s="472">
        <f>SUM(C238:C244)</f>
        <v>1430</v>
      </c>
      <c r="D237" s="472">
        <f t="shared" ref="D237:T237" si="26">SUM(D238:D244)</f>
        <v>608</v>
      </c>
      <c r="E237" s="472">
        <f t="shared" si="26"/>
        <v>0</v>
      </c>
      <c r="F237" s="472">
        <f t="shared" si="26"/>
        <v>0</v>
      </c>
      <c r="G237" s="472">
        <f t="shared" si="26"/>
        <v>0</v>
      </c>
      <c r="H237" s="472">
        <f t="shared" si="26"/>
        <v>0</v>
      </c>
      <c r="I237" s="472">
        <f t="shared" si="26"/>
        <v>608</v>
      </c>
      <c r="J237" s="472">
        <f t="shared" si="26"/>
        <v>0</v>
      </c>
      <c r="K237" s="472">
        <f t="shared" si="26"/>
        <v>0</v>
      </c>
      <c r="L237" s="472">
        <f t="shared" si="26"/>
        <v>0</v>
      </c>
      <c r="M237" s="472">
        <f t="shared" si="26"/>
        <v>0</v>
      </c>
      <c r="N237" s="472">
        <f t="shared" si="26"/>
        <v>0</v>
      </c>
      <c r="O237" s="472">
        <f t="shared" si="26"/>
        <v>0</v>
      </c>
      <c r="P237" s="472">
        <f t="shared" si="26"/>
        <v>0</v>
      </c>
      <c r="Q237" s="472">
        <f t="shared" si="26"/>
        <v>0</v>
      </c>
      <c r="R237" s="472">
        <f t="shared" si="26"/>
        <v>0</v>
      </c>
      <c r="S237" s="472">
        <f t="shared" si="26"/>
        <v>0</v>
      </c>
      <c r="T237" s="472">
        <f t="shared" si="26"/>
        <v>0</v>
      </c>
    </row>
    <row r="238" spans="1:20">
      <c r="A238" s="422"/>
      <c r="B238" s="427" t="s">
        <v>1458</v>
      </c>
      <c r="C238" s="469">
        <f>('[4]Bieu 57'!D238)/1000000</f>
        <v>818</v>
      </c>
      <c r="D238" s="469">
        <f>('[4]Bieu 57'!I238)/1000000</f>
        <v>294</v>
      </c>
      <c r="E238" s="467"/>
      <c r="F238" s="467"/>
      <c r="G238" s="467"/>
      <c r="H238" s="467"/>
      <c r="I238" s="345">
        <f>D238</f>
        <v>294</v>
      </c>
      <c r="J238" s="467"/>
      <c r="K238" s="467"/>
      <c r="L238" s="467"/>
      <c r="M238" s="467"/>
      <c r="N238" s="467"/>
      <c r="O238" s="467"/>
      <c r="P238" s="467"/>
      <c r="Q238" s="467"/>
      <c r="R238" s="467"/>
      <c r="S238" s="467"/>
      <c r="T238" s="467"/>
    </row>
    <row r="239" spans="1:20">
      <c r="A239" s="422"/>
      <c r="B239" s="427" t="s">
        <v>1459</v>
      </c>
      <c r="C239" s="469">
        <f>('[4]Bieu 57'!D239)/1000000</f>
        <v>446</v>
      </c>
      <c r="D239" s="469">
        <f>('[4]Bieu 57'!I239)/1000000</f>
        <v>180</v>
      </c>
      <c r="E239" s="467"/>
      <c r="F239" s="467"/>
      <c r="G239" s="467"/>
      <c r="H239" s="467"/>
      <c r="I239" s="345">
        <f t="shared" ref="I239:I244" si="27">D239</f>
        <v>180</v>
      </c>
      <c r="J239" s="467"/>
      <c r="K239" s="467"/>
      <c r="L239" s="467"/>
      <c r="M239" s="467"/>
      <c r="N239" s="467"/>
      <c r="O239" s="467"/>
      <c r="P239" s="467"/>
      <c r="Q239" s="467"/>
      <c r="R239" s="467"/>
      <c r="S239" s="467"/>
      <c r="T239" s="467"/>
    </row>
    <row r="240" spans="1:20">
      <c r="A240" s="422"/>
      <c r="B240" s="427" t="s">
        <v>1460</v>
      </c>
      <c r="C240" s="469">
        <f>('[4]Bieu 57'!D240)/1000000</f>
        <v>6</v>
      </c>
      <c r="D240" s="469">
        <f>('[4]Bieu 57'!I240)/1000000</f>
        <v>6</v>
      </c>
      <c r="E240" s="467"/>
      <c r="F240" s="467"/>
      <c r="G240" s="467"/>
      <c r="H240" s="467"/>
      <c r="I240" s="345">
        <f t="shared" si="27"/>
        <v>6</v>
      </c>
      <c r="J240" s="467"/>
      <c r="K240" s="467"/>
      <c r="L240" s="467"/>
      <c r="M240" s="467"/>
      <c r="N240" s="467"/>
      <c r="O240" s="467"/>
      <c r="P240" s="467"/>
      <c r="Q240" s="467"/>
      <c r="R240" s="467"/>
      <c r="S240" s="467"/>
      <c r="T240" s="467"/>
    </row>
    <row r="241" spans="1:20">
      <c r="A241" s="422"/>
      <c r="B241" s="427" t="s">
        <v>1463</v>
      </c>
      <c r="C241" s="469">
        <f>('[4]Bieu 57'!D241)/1000000</f>
        <v>80</v>
      </c>
      <c r="D241" s="469">
        <f>('[4]Bieu 57'!I241)/1000000</f>
        <v>70</v>
      </c>
      <c r="E241" s="467"/>
      <c r="F241" s="467"/>
      <c r="G241" s="467"/>
      <c r="H241" s="467"/>
      <c r="I241" s="345">
        <f t="shared" si="27"/>
        <v>70</v>
      </c>
      <c r="J241" s="467"/>
      <c r="K241" s="467"/>
      <c r="L241" s="467"/>
      <c r="M241" s="467"/>
      <c r="N241" s="467"/>
      <c r="O241" s="467"/>
      <c r="P241" s="467"/>
      <c r="Q241" s="467"/>
      <c r="R241" s="467"/>
      <c r="S241" s="467"/>
      <c r="T241" s="467"/>
    </row>
    <row r="242" spans="1:20">
      <c r="A242" s="422"/>
      <c r="B242" s="427" t="s">
        <v>1464</v>
      </c>
      <c r="C242" s="469">
        <f>('[4]Bieu 57'!D242)/1000000</f>
        <v>80</v>
      </c>
      <c r="D242" s="469">
        <f>('[4]Bieu 57'!I242)/1000000</f>
        <v>58</v>
      </c>
      <c r="E242" s="467"/>
      <c r="F242" s="467"/>
      <c r="G242" s="467"/>
      <c r="H242" s="467"/>
      <c r="I242" s="345">
        <f t="shared" si="27"/>
        <v>58</v>
      </c>
      <c r="J242" s="467"/>
      <c r="K242" s="467"/>
      <c r="L242" s="467"/>
      <c r="M242" s="467"/>
      <c r="N242" s="467"/>
      <c r="O242" s="467"/>
      <c r="P242" s="467"/>
      <c r="Q242" s="467"/>
      <c r="R242" s="467"/>
      <c r="S242" s="467"/>
      <c r="T242" s="467"/>
    </row>
    <row r="243" spans="1:20">
      <c r="A243" s="422"/>
      <c r="B243" s="427"/>
      <c r="C243" s="471">
        <f>'[4]Bieu 57'!D243</f>
        <v>0</v>
      </c>
      <c r="D243" s="345">
        <f>'[4]Bieu 57'!I243</f>
        <v>0</v>
      </c>
      <c r="E243" s="467"/>
      <c r="F243" s="467"/>
      <c r="G243" s="467"/>
      <c r="H243" s="467"/>
      <c r="I243" s="345">
        <f t="shared" si="27"/>
        <v>0</v>
      </c>
      <c r="J243" s="467"/>
      <c r="K243" s="467"/>
      <c r="L243" s="467"/>
      <c r="M243" s="467"/>
      <c r="N243" s="467"/>
      <c r="O243" s="467"/>
      <c r="P243" s="467"/>
      <c r="Q243" s="467"/>
      <c r="R243" s="467"/>
      <c r="S243" s="467"/>
      <c r="T243" s="467"/>
    </row>
    <row r="244" spans="1:20">
      <c r="A244" s="422"/>
      <c r="B244" s="423"/>
      <c r="C244" s="471">
        <f>'[4]Bieu 57'!D244</f>
        <v>0</v>
      </c>
      <c r="D244" s="345">
        <f>'[4]Bieu 57'!I244</f>
        <v>0</v>
      </c>
      <c r="E244" s="467"/>
      <c r="F244" s="467"/>
      <c r="G244" s="467"/>
      <c r="H244" s="467"/>
      <c r="I244" s="345">
        <f t="shared" si="27"/>
        <v>0</v>
      </c>
      <c r="J244" s="467"/>
      <c r="K244" s="467"/>
      <c r="L244" s="467"/>
      <c r="M244" s="467"/>
      <c r="N244" s="467"/>
      <c r="O244" s="467"/>
      <c r="P244" s="467"/>
      <c r="Q244" s="467"/>
      <c r="R244" s="467"/>
      <c r="S244" s="467"/>
      <c r="T244" s="467"/>
    </row>
    <row r="245" spans="1:20" s="443" customFormat="1" ht="13.5">
      <c r="A245" s="438">
        <v>3</v>
      </c>
      <c r="B245" s="439" t="s">
        <v>1468</v>
      </c>
      <c r="C245" s="472">
        <f>SUM(C246:C253)</f>
        <v>14960.800000000001</v>
      </c>
      <c r="D245" s="472">
        <f t="shared" ref="D245:T245" si="28">SUM(D246:D253)</f>
        <v>14694.4295</v>
      </c>
      <c r="E245" s="472">
        <f t="shared" si="28"/>
        <v>0</v>
      </c>
      <c r="F245" s="472">
        <f t="shared" si="28"/>
        <v>0</v>
      </c>
      <c r="G245" s="472">
        <f t="shared" si="28"/>
        <v>0</v>
      </c>
      <c r="H245" s="472">
        <f t="shared" si="28"/>
        <v>0</v>
      </c>
      <c r="I245" s="472">
        <f t="shared" si="28"/>
        <v>14694.4295</v>
      </c>
      <c r="J245" s="472">
        <f t="shared" si="28"/>
        <v>0</v>
      </c>
      <c r="K245" s="472">
        <f t="shared" si="28"/>
        <v>0</v>
      </c>
      <c r="L245" s="472">
        <f t="shared" si="28"/>
        <v>0</v>
      </c>
      <c r="M245" s="472">
        <f t="shared" si="28"/>
        <v>0</v>
      </c>
      <c r="N245" s="472">
        <f t="shared" si="28"/>
        <v>0</v>
      </c>
      <c r="O245" s="472">
        <f t="shared" si="28"/>
        <v>0</v>
      </c>
      <c r="P245" s="472">
        <f t="shared" si="28"/>
        <v>0</v>
      </c>
      <c r="Q245" s="472">
        <f t="shared" si="28"/>
        <v>0</v>
      </c>
      <c r="R245" s="472">
        <f t="shared" si="28"/>
        <v>0</v>
      </c>
      <c r="S245" s="472">
        <f t="shared" si="28"/>
        <v>0</v>
      </c>
      <c r="T245" s="472">
        <f t="shared" si="28"/>
        <v>0</v>
      </c>
    </row>
    <row r="246" spans="1:20">
      <c r="A246" s="445"/>
      <c r="B246" s="423" t="s">
        <v>1469</v>
      </c>
      <c r="C246" s="469">
        <f>('[4]Bieu 57'!D246)/1000000</f>
        <v>165.226</v>
      </c>
      <c r="D246" s="469">
        <f>('[4]Bieu 57'!I246)/1000000</f>
        <v>152.62011999999999</v>
      </c>
      <c r="E246" s="467"/>
      <c r="F246" s="467"/>
      <c r="G246" s="467"/>
      <c r="H246" s="467"/>
      <c r="I246" s="345">
        <f>D246</f>
        <v>152.62011999999999</v>
      </c>
      <c r="J246" s="467"/>
      <c r="K246" s="467"/>
      <c r="L246" s="467"/>
      <c r="M246" s="467"/>
      <c r="N246" s="467"/>
      <c r="O246" s="467"/>
      <c r="P246" s="467"/>
      <c r="Q246" s="467"/>
      <c r="R246" s="467"/>
      <c r="S246" s="467"/>
      <c r="T246" s="467"/>
    </row>
    <row r="247" spans="1:20">
      <c r="A247" s="445"/>
      <c r="B247" s="441" t="s">
        <v>1438</v>
      </c>
      <c r="C247" s="469">
        <f>('[4]Bieu 57'!D247)/1000000</f>
        <v>981.03099999999995</v>
      </c>
      <c r="D247" s="469">
        <f>('[4]Bieu 57'!I247)/1000000</f>
        <v>970.90078000000005</v>
      </c>
      <c r="E247" s="467"/>
      <c r="F247" s="467"/>
      <c r="G247" s="467"/>
      <c r="H247" s="467"/>
      <c r="I247" s="345">
        <f t="shared" ref="I247:I253" si="29">D247</f>
        <v>970.90078000000005</v>
      </c>
      <c r="J247" s="467"/>
      <c r="K247" s="467"/>
      <c r="L247" s="467"/>
      <c r="M247" s="467"/>
      <c r="N247" s="467"/>
      <c r="O247" s="467"/>
      <c r="P247" s="467"/>
      <c r="Q247" s="467"/>
      <c r="R247" s="467"/>
      <c r="S247" s="467"/>
      <c r="T247" s="467"/>
    </row>
    <row r="248" spans="1:20">
      <c r="A248" s="445"/>
      <c r="B248" s="442" t="s">
        <v>1439</v>
      </c>
      <c r="C248" s="469">
        <f>('[4]Bieu 57'!D248)/1000000</f>
        <v>2005.3440000000001</v>
      </c>
      <c r="D248" s="469">
        <f>('[4]Bieu 57'!I248)/1000000</f>
        <v>1842.81816</v>
      </c>
      <c r="E248" s="467"/>
      <c r="F248" s="467"/>
      <c r="G248" s="467"/>
      <c r="H248" s="467"/>
      <c r="I248" s="345">
        <f t="shared" si="29"/>
        <v>1842.81816</v>
      </c>
      <c r="J248" s="467"/>
      <c r="K248" s="467"/>
      <c r="L248" s="467"/>
      <c r="M248" s="467"/>
      <c r="N248" s="467"/>
      <c r="O248" s="467"/>
      <c r="P248" s="467"/>
      <c r="Q248" s="467"/>
      <c r="R248" s="467"/>
      <c r="S248" s="467"/>
      <c r="T248" s="467"/>
    </row>
    <row r="249" spans="1:20">
      <c r="A249" s="445"/>
      <c r="B249" s="442" t="s">
        <v>1440</v>
      </c>
      <c r="C249" s="469">
        <f>('[4]Bieu 57'!D249)/1000000</f>
        <v>5632.6509999999998</v>
      </c>
      <c r="D249" s="469">
        <f>('[4]Bieu 57'!I249)/1000000</f>
        <v>5578.3278600000003</v>
      </c>
      <c r="E249" s="467"/>
      <c r="F249" s="467"/>
      <c r="G249" s="467"/>
      <c r="H249" s="467"/>
      <c r="I249" s="345">
        <f t="shared" si="29"/>
        <v>5578.3278600000003</v>
      </c>
      <c r="J249" s="467"/>
      <c r="K249" s="467"/>
      <c r="L249" s="467"/>
      <c r="M249" s="467"/>
      <c r="N249" s="467"/>
      <c r="O249" s="467"/>
      <c r="P249" s="467"/>
      <c r="Q249" s="467"/>
      <c r="R249" s="467"/>
      <c r="S249" s="467"/>
      <c r="T249" s="467"/>
    </row>
    <row r="250" spans="1:20">
      <c r="A250" s="445"/>
      <c r="B250" s="442" t="s">
        <v>1441</v>
      </c>
      <c r="C250" s="469">
        <f>('[4]Bieu 57'!D250)/1000000</f>
        <v>4923.4170000000004</v>
      </c>
      <c r="D250" s="469">
        <f>('[4]Bieu 57'!I250)/1000000</f>
        <v>4923.4170000000004</v>
      </c>
      <c r="E250" s="467"/>
      <c r="F250" s="467"/>
      <c r="G250" s="467"/>
      <c r="H250" s="467"/>
      <c r="I250" s="345">
        <f t="shared" si="29"/>
        <v>4923.4170000000004</v>
      </c>
      <c r="J250" s="467"/>
      <c r="K250" s="467"/>
      <c r="L250" s="467"/>
      <c r="M250" s="467"/>
      <c r="N250" s="467"/>
      <c r="O250" s="467"/>
      <c r="P250" s="467"/>
      <c r="Q250" s="467"/>
      <c r="R250" s="467"/>
      <c r="S250" s="467"/>
      <c r="T250" s="467"/>
    </row>
    <row r="251" spans="1:20">
      <c r="A251" s="445"/>
      <c r="B251" s="442" t="s">
        <v>1443</v>
      </c>
      <c r="C251" s="469">
        <f>('[4]Bieu 57'!D251)/1000000</f>
        <v>387.98899999999998</v>
      </c>
      <c r="D251" s="469">
        <f>('[4]Bieu 57'!I251)/1000000</f>
        <v>361.20357999999999</v>
      </c>
      <c r="E251" s="467"/>
      <c r="F251" s="467"/>
      <c r="G251" s="467"/>
      <c r="H251" s="467"/>
      <c r="I251" s="345">
        <f t="shared" si="29"/>
        <v>361.20357999999999</v>
      </c>
      <c r="J251" s="467"/>
      <c r="K251" s="467"/>
      <c r="L251" s="467"/>
      <c r="M251" s="467"/>
      <c r="N251" s="467"/>
      <c r="O251" s="467"/>
      <c r="P251" s="467"/>
      <c r="Q251" s="467"/>
      <c r="R251" s="467"/>
      <c r="S251" s="467"/>
      <c r="T251" s="467"/>
    </row>
    <row r="252" spans="1:20">
      <c r="A252" s="445"/>
      <c r="B252" s="442" t="s">
        <v>1444</v>
      </c>
      <c r="C252" s="469">
        <f>('[4]Bieu 57'!D252)/1000000</f>
        <v>614.08799999999997</v>
      </c>
      <c r="D252" s="469">
        <f>('[4]Bieu 57'!I252)/1000000</f>
        <v>614.08799999999997</v>
      </c>
      <c r="E252" s="467"/>
      <c r="F252" s="467"/>
      <c r="G252" s="467"/>
      <c r="H252" s="467"/>
      <c r="I252" s="345">
        <f t="shared" si="29"/>
        <v>614.08799999999997</v>
      </c>
      <c r="J252" s="467"/>
      <c r="K252" s="467"/>
      <c r="L252" s="467"/>
      <c r="M252" s="467"/>
      <c r="N252" s="467"/>
      <c r="O252" s="467"/>
      <c r="P252" s="467"/>
      <c r="Q252" s="467"/>
      <c r="R252" s="467"/>
      <c r="S252" s="467"/>
      <c r="T252" s="467"/>
    </row>
    <row r="253" spans="1:20" ht="13.5">
      <c r="A253" s="438"/>
      <c r="B253" s="442" t="s">
        <v>1453</v>
      </c>
      <c r="C253" s="469">
        <f>('[4]Bieu 57'!D253)/1000000</f>
        <v>251.054</v>
      </c>
      <c r="D253" s="469">
        <f>('[4]Bieu 57'!I253)/1000000</f>
        <v>251.054</v>
      </c>
      <c r="E253" s="467"/>
      <c r="F253" s="467"/>
      <c r="G253" s="467"/>
      <c r="H253" s="467"/>
      <c r="I253" s="345">
        <f t="shared" si="29"/>
        <v>251.054</v>
      </c>
      <c r="J253" s="467"/>
      <c r="K253" s="467"/>
      <c r="L253" s="467"/>
      <c r="M253" s="467"/>
      <c r="N253" s="467"/>
      <c r="O253" s="467"/>
      <c r="P253" s="467"/>
      <c r="Q253" s="467"/>
      <c r="R253" s="467"/>
      <c r="S253" s="467"/>
      <c r="T253" s="467"/>
    </row>
    <row r="254" spans="1:20" s="443" customFormat="1" ht="13.5">
      <c r="A254" s="438">
        <v>4</v>
      </c>
      <c r="B254" s="439" t="s">
        <v>1470</v>
      </c>
      <c r="C254" s="472">
        <f>C255</f>
        <v>639</v>
      </c>
      <c r="D254" s="472">
        <f t="shared" ref="D254:T254" si="30">D255</f>
        <v>530.6</v>
      </c>
      <c r="E254" s="472">
        <f t="shared" si="30"/>
        <v>0</v>
      </c>
      <c r="F254" s="472">
        <f t="shared" si="30"/>
        <v>0</v>
      </c>
      <c r="G254" s="472">
        <f t="shared" si="30"/>
        <v>0</v>
      </c>
      <c r="H254" s="472">
        <f t="shared" si="30"/>
        <v>0</v>
      </c>
      <c r="I254" s="472">
        <f t="shared" si="30"/>
        <v>530.6</v>
      </c>
      <c r="J254" s="472">
        <f t="shared" si="30"/>
        <v>0</v>
      </c>
      <c r="K254" s="472">
        <f t="shared" si="30"/>
        <v>0</v>
      </c>
      <c r="L254" s="472">
        <f t="shared" si="30"/>
        <v>0</v>
      </c>
      <c r="M254" s="472">
        <f t="shared" si="30"/>
        <v>0</v>
      </c>
      <c r="N254" s="472">
        <f t="shared" si="30"/>
        <v>0</v>
      </c>
      <c r="O254" s="472">
        <f t="shared" si="30"/>
        <v>0</v>
      </c>
      <c r="P254" s="472">
        <f t="shared" si="30"/>
        <v>0</v>
      </c>
      <c r="Q254" s="472">
        <f t="shared" si="30"/>
        <v>0</v>
      </c>
      <c r="R254" s="472">
        <f t="shared" si="30"/>
        <v>0</v>
      </c>
      <c r="S254" s="472">
        <f t="shared" si="30"/>
        <v>0</v>
      </c>
      <c r="T254" s="472">
        <f t="shared" si="30"/>
        <v>0</v>
      </c>
    </row>
    <row r="255" spans="1:20">
      <c r="A255" s="445"/>
      <c r="B255" s="446" t="s">
        <v>1331</v>
      </c>
      <c r="C255" s="469">
        <f>('[4]Bieu 57'!D255)/1000000</f>
        <v>639</v>
      </c>
      <c r="D255" s="469">
        <f>('[4]Bieu 57'!I255)/1000000</f>
        <v>530.6</v>
      </c>
      <c r="E255" s="467"/>
      <c r="F255" s="467"/>
      <c r="G255" s="467"/>
      <c r="H255" s="467"/>
      <c r="I255" s="345">
        <f>D255</f>
        <v>530.6</v>
      </c>
      <c r="J255" s="467"/>
      <c r="K255" s="467"/>
      <c r="L255" s="467"/>
      <c r="M255" s="467"/>
      <c r="N255" s="467"/>
      <c r="O255" s="467"/>
      <c r="P255" s="467"/>
      <c r="Q255" s="467"/>
      <c r="R255" s="467"/>
      <c r="S255" s="467"/>
      <c r="T255" s="467"/>
    </row>
    <row r="256" spans="1:20" s="443" customFormat="1" ht="13.5">
      <c r="A256" s="438">
        <v>5</v>
      </c>
      <c r="B256" s="447" t="s">
        <v>1471</v>
      </c>
      <c r="C256" s="469">
        <f>('[4]Bieu 57'!D256)/1000000</f>
        <v>12000</v>
      </c>
      <c r="D256" s="469">
        <f>('[4]Bieu 57'!I256)/1000000</f>
        <v>11000</v>
      </c>
      <c r="E256" s="473"/>
      <c r="F256" s="473"/>
      <c r="G256" s="473"/>
      <c r="H256" s="473"/>
      <c r="I256" s="474">
        <f>D256</f>
        <v>11000</v>
      </c>
      <c r="J256" s="473"/>
      <c r="K256" s="473"/>
      <c r="L256" s="473"/>
      <c r="M256" s="473"/>
      <c r="N256" s="473"/>
      <c r="O256" s="473"/>
      <c r="P256" s="473"/>
      <c r="Q256" s="473"/>
      <c r="R256" s="473"/>
      <c r="S256" s="473"/>
      <c r="T256" s="473"/>
    </row>
    <row r="257" spans="1:20" s="443" customFormat="1" ht="27">
      <c r="A257" s="438">
        <v>6</v>
      </c>
      <c r="B257" s="447" t="s">
        <v>1472</v>
      </c>
      <c r="C257" s="469">
        <f>('[4]Bieu 57'!D257)/1000000</f>
        <v>17657</v>
      </c>
      <c r="D257" s="474">
        <f>D258</f>
        <v>813</v>
      </c>
      <c r="E257" s="474">
        <f t="shared" ref="E257:T257" si="31">E258</f>
        <v>0</v>
      </c>
      <c r="F257" s="474">
        <f t="shared" si="31"/>
        <v>0</v>
      </c>
      <c r="G257" s="474">
        <f t="shared" si="31"/>
        <v>0</v>
      </c>
      <c r="H257" s="474">
        <f t="shared" si="31"/>
        <v>0</v>
      </c>
      <c r="I257" s="474">
        <f t="shared" si="31"/>
        <v>813</v>
      </c>
      <c r="J257" s="474">
        <f t="shared" si="31"/>
        <v>0</v>
      </c>
      <c r="K257" s="474">
        <f t="shared" si="31"/>
        <v>0</v>
      </c>
      <c r="L257" s="474">
        <f t="shared" si="31"/>
        <v>0</v>
      </c>
      <c r="M257" s="474">
        <f t="shared" si="31"/>
        <v>0</v>
      </c>
      <c r="N257" s="474">
        <f t="shared" si="31"/>
        <v>0</v>
      </c>
      <c r="O257" s="474">
        <f t="shared" si="31"/>
        <v>0</v>
      </c>
      <c r="P257" s="474">
        <f t="shared" si="31"/>
        <v>0</v>
      </c>
      <c r="Q257" s="474">
        <f t="shared" si="31"/>
        <v>0</v>
      </c>
      <c r="R257" s="474">
        <f t="shared" si="31"/>
        <v>0</v>
      </c>
      <c r="S257" s="474">
        <f t="shared" si="31"/>
        <v>0</v>
      </c>
      <c r="T257" s="474">
        <f t="shared" si="31"/>
        <v>0</v>
      </c>
    </row>
    <row r="258" spans="1:20">
      <c r="A258" s="445"/>
      <c r="B258" s="440" t="s">
        <v>1317</v>
      </c>
      <c r="C258" s="469">
        <f>('[4]Bieu 57'!D258)/1000000</f>
        <v>813</v>
      </c>
      <c r="D258" s="469">
        <f>('[4]Bieu 57'!I258)/1000000</f>
        <v>813</v>
      </c>
      <c r="E258" s="467"/>
      <c r="F258" s="467"/>
      <c r="G258" s="467"/>
      <c r="H258" s="467"/>
      <c r="I258" s="345">
        <f>D258</f>
        <v>813</v>
      </c>
      <c r="J258" s="467"/>
      <c r="K258" s="467"/>
      <c r="L258" s="467"/>
      <c r="M258" s="467"/>
      <c r="N258" s="467"/>
      <c r="O258" s="467"/>
      <c r="P258" s="467"/>
      <c r="Q258" s="467"/>
      <c r="R258" s="467"/>
      <c r="S258" s="467"/>
      <c r="T258" s="467"/>
    </row>
    <row r="259" spans="1:20" s="421" customFormat="1" ht="13.5">
      <c r="A259" s="438">
        <v>7</v>
      </c>
      <c r="B259" s="448" t="s">
        <v>1473</v>
      </c>
      <c r="C259" s="469">
        <v>6263</v>
      </c>
      <c r="D259" s="472">
        <f t="shared" ref="D259:T259" si="32">SUM(D260:D273)</f>
        <v>2589.5999999999995</v>
      </c>
      <c r="E259" s="472">
        <f t="shared" si="32"/>
        <v>0</v>
      </c>
      <c r="F259" s="472">
        <f t="shared" si="32"/>
        <v>0</v>
      </c>
      <c r="G259" s="472">
        <f t="shared" si="32"/>
        <v>0</v>
      </c>
      <c r="H259" s="472">
        <f t="shared" si="32"/>
        <v>0</v>
      </c>
      <c r="I259" s="472">
        <f t="shared" si="32"/>
        <v>2589.5999999999995</v>
      </c>
      <c r="J259" s="472">
        <f t="shared" si="32"/>
        <v>0</v>
      </c>
      <c r="K259" s="472">
        <f t="shared" si="32"/>
        <v>0</v>
      </c>
      <c r="L259" s="472">
        <f t="shared" si="32"/>
        <v>0</v>
      </c>
      <c r="M259" s="472">
        <f t="shared" si="32"/>
        <v>0</v>
      </c>
      <c r="N259" s="472">
        <f t="shared" si="32"/>
        <v>0</v>
      </c>
      <c r="O259" s="472">
        <f t="shared" si="32"/>
        <v>0</v>
      </c>
      <c r="P259" s="472">
        <f t="shared" si="32"/>
        <v>0</v>
      </c>
      <c r="Q259" s="472">
        <f t="shared" si="32"/>
        <v>0</v>
      </c>
      <c r="R259" s="472">
        <f t="shared" si="32"/>
        <v>0</v>
      </c>
      <c r="S259" s="472">
        <f t="shared" si="32"/>
        <v>0</v>
      </c>
      <c r="T259" s="472">
        <f t="shared" si="32"/>
        <v>0</v>
      </c>
    </row>
    <row r="260" spans="1:20">
      <c r="A260" s="422"/>
      <c r="B260" s="442" t="s">
        <v>1438</v>
      </c>
      <c r="C260" s="471"/>
      <c r="D260" s="469">
        <f>('[4]Bieu 57'!I260)/1000000</f>
        <v>160.30600000000001</v>
      </c>
      <c r="E260" s="467"/>
      <c r="F260" s="467"/>
      <c r="G260" s="467"/>
      <c r="H260" s="467"/>
      <c r="I260" s="345">
        <f>D260</f>
        <v>160.30600000000001</v>
      </c>
      <c r="J260" s="467"/>
      <c r="K260" s="467"/>
      <c r="L260" s="467"/>
      <c r="M260" s="467"/>
      <c r="N260" s="467"/>
      <c r="O260" s="467"/>
      <c r="P260" s="467"/>
      <c r="Q260" s="467"/>
      <c r="R260" s="467"/>
      <c r="S260" s="467"/>
      <c r="T260" s="467"/>
    </row>
    <row r="261" spans="1:20">
      <c r="A261" s="422"/>
      <c r="B261" s="442" t="s">
        <v>1439</v>
      </c>
      <c r="C261" s="471"/>
      <c r="D261" s="469">
        <f>('[4]Bieu 57'!I261)/1000000</f>
        <v>65.465000000000003</v>
      </c>
      <c r="E261" s="467"/>
      <c r="F261" s="467"/>
      <c r="G261" s="467"/>
      <c r="H261" s="467"/>
      <c r="I261" s="345">
        <f t="shared" ref="I261:I273" si="33">D261</f>
        <v>65.465000000000003</v>
      </c>
      <c r="J261" s="467"/>
      <c r="K261" s="467"/>
      <c r="L261" s="467"/>
      <c r="M261" s="467"/>
      <c r="N261" s="467"/>
      <c r="O261" s="467"/>
      <c r="P261" s="467"/>
      <c r="Q261" s="467"/>
      <c r="R261" s="467"/>
      <c r="S261" s="467"/>
      <c r="T261" s="467"/>
    </row>
    <row r="262" spans="1:20">
      <c r="A262" s="422"/>
      <c r="B262" s="442" t="s">
        <v>1440</v>
      </c>
      <c r="C262" s="471"/>
      <c r="D262" s="469">
        <f>('[4]Bieu 57'!I262)/1000000</f>
        <v>378.99099999999999</v>
      </c>
      <c r="E262" s="467"/>
      <c r="F262" s="467"/>
      <c r="G262" s="467"/>
      <c r="H262" s="467"/>
      <c r="I262" s="345">
        <f t="shared" si="33"/>
        <v>378.99099999999999</v>
      </c>
      <c r="J262" s="467"/>
      <c r="K262" s="467"/>
      <c r="L262" s="467"/>
      <c r="M262" s="467"/>
      <c r="N262" s="467"/>
      <c r="O262" s="467"/>
      <c r="P262" s="467"/>
      <c r="Q262" s="467"/>
      <c r="R262" s="467"/>
      <c r="S262" s="467"/>
      <c r="T262" s="467"/>
    </row>
    <row r="263" spans="1:20">
      <c r="A263" s="422"/>
      <c r="B263" s="442" t="s">
        <v>1441</v>
      </c>
      <c r="C263" s="471"/>
      <c r="D263" s="469">
        <f>('[4]Bieu 57'!I263)/1000000</f>
        <v>478.89299999999997</v>
      </c>
      <c r="E263" s="467"/>
      <c r="F263" s="467"/>
      <c r="G263" s="467"/>
      <c r="H263" s="467"/>
      <c r="I263" s="345">
        <f t="shared" si="33"/>
        <v>478.89299999999997</v>
      </c>
      <c r="J263" s="467"/>
      <c r="K263" s="467"/>
      <c r="L263" s="467"/>
      <c r="M263" s="467"/>
      <c r="N263" s="467"/>
      <c r="O263" s="467"/>
      <c r="P263" s="467"/>
      <c r="Q263" s="467"/>
      <c r="R263" s="467"/>
      <c r="S263" s="467"/>
      <c r="T263" s="467"/>
    </row>
    <row r="264" spans="1:20">
      <c r="A264" s="422"/>
      <c r="B264" s="442" t="s">
        <v>1442</v>
      </c>
      <c r="C264" s="471"/>
      <c r="D264" s="469">
        <f>('[4]Bieu 57'!I264)/1000000</f>
        <v>0</v>
      </c>
      <c r="E264" s="467"/>
      <c r="F264" s="467"/>
      <c r="G264" s="467"/>
      <c r="H264" s="467"/>
      <c r="I264" s="345">
        <f t="shared" si="33"/>
        <v>0</v>
      </c>
      <c r="J264" s="467"/>
      <c r="K264" s="467"/>
      <c r="L264" s="467"/>
      <c r="M264" s="467"/>
      <c r="N264" s="467"/>
      <c r="O264" s="467"/>
      <c r="P264" s="467"/>
      <c r="Q264" s="467"/>
      <c r="R264" s="467"/>
      <c r="S264" s="467"/>
      <c r="T264" s="467"/>
    </row>
    <row r="265" spans="1:20">
      <c r="A265" s="422"/>
      <c r="B265" s="442" t="s">
        <v>1443</v>
      </c>
      <c r="C265" s="471"/>
      <c r="D265" s="469">
        <f>('[4]Bieu 57'!I265)/1000000</f>
        <v>245.82</v>
      </c>
      <c r="E265" s="467"/>
      <c r="F265" s="467"/>
      <c r="G265" s="467"/>
      <c r="H265" s="467"/>
      <c r="I265" s="345">
        <f t="shared" si="33"/>
        <v>245.82</v>
      </c>
      <c r="J265" s="467"/>
      <c r="K265" s="467"/>
      <c r="L265" s="467"/>
      <c r="M265" s="467"/>
      <c r="N265" s="467"/>
      <c r="O265" s="467"/>
      <c r="P265" s="467"/>
      <c r="Q265" s="467"/>
      <c r="R265" s="467"/>
      <c r="S265" s="467"/>
      <c r="T265" s="467"/>
    </row>
    <row r="266" spans="1:20">
      <c r="A266" s="422"/>
      <c r="B266" s="442" t="s">
        <v>1444</v>
      </c>
      <c r="C266" s="471"/>
      <c r="D266" s="469">
        <f>('[4]Bieu 57'!I266)/1000000</f>
        <v>204.85</v>
      </c>
      <c r="E266" s="467"/>
      <c r="F266" s="467"/>
      <c r="G266" s="467"/>
      <c r="H266" s="467"/>
      <c r="I266" s="345">
        <f t="shared" si="33"/>
        <v>204.85</v>
      </c>
      <c r="J266" s="467"/>
      <c r="K266" s="467"/>
      <c r="L266" s="467"/>
      <c r="M266" s="467"/>
      <c r="N266" s="467"/>
      <c r="O266" s="467"/>
      <c r="P266" s="467"/>
      <c r="Q266" s="467"/>
      <c r="R266" s="467"/>
      <c r="S266" s="467"/>
      <c r="T266" s="467"/>
    </row>
    <row r="267" spans="1:20">
      <c r="A267" s="422"/>
      <c r="B267" s="442" t="s">
        <v>1445</v>
      </c>
      <c r="C267" s="471"/>
      <c r="D267" s="469">
        <f>('[4]Bieu 57'!I267)/1000000</f>
        <v>504.88299999999998</v>
      </c>
      <c r="E267" s="467"/>
      <c r="F267" s="467"/>
      <c r="G267" s="467"/>
      <c r="H267" s="467"/>
      <c r="I267" s="345">
        <f t="shared" si="33"/>
        <v>504.88299999999998</v>
      </c>
      <c r="J267" s="467"/>
      <c r="K267" s="467"/>
      <c r="L267" s="467"/>
      <c r="M267" s="467"/>
      <c r="N267" s="467"/>
      <c r="O267" s="467"/>
      <c r="P267" s="467"/>
      <c r="Q267" s="467"/>
      <c r="R267" s="467"/>
      <c r="S267" s="467"/>
      <c r="T267" s="467"/>
    </row>
    <row r="268" spans="1:20">
      <c r="A268" s="422"/>
      <c r="B268" s="442" t="s">
        <v>1446</v>
      </c>
      <c r="C268" s="471"/>
      <c r="D268" s="469">
        <f>('[4]Bieu 57'!I268)/1000000</f>
        <v>78.599999999999994</v>
      </c>
      <c r="E268" s="467"/>
      <c r="F268" s="467"/>
      <c r="G268" s="467"/>
      <c r="H268" s="467"/>
      <c r="I268" s="345">
        <f t="shared" si="33"/>
        <v>78.599999999999994</v>
      </c>
      <c r="J268" s="467"/>
      <c r="K268" s="467"/>
      <c r="L268" s="467"/>
      <c r="M268" s="467"/>
      <c r="N268" s="467"/>
      <c r="O268" s="467"/>
      <c r="P268" s="467"/>
      <c r="Q268" s="467"/>
      <c r="R268" s="467"/>
      <c r="S268" s="467"/>
      <c r="T268" s="467"/>
    </row>
    <row r="269" spans="1:20">
      <c r="A269" s="422"/>
      <c r="B269" s="441" t="s">
        <v>1447</v>
      </c>
      <c r="C269" s="471"/>
      <c r="D269" s="469">
        <f>('[4]Bieu 57'!I269)/1000000</f>
        <v>205.03800000000001</v>
      </c>
      <c r="E269" s="467"/>
      <c r="F269" s="467"/>
      <c r="G269" s="467"/>
      <c r="H269" s="467"/>
      <c r="I269" s="345">
        <f t="shared" si="33"/>
        <v>205.03800000000001</v>
      </c>
      <c r="J269" s="467"/>
      <c r="K269" s="467"/>
      <c r="L269" s="467"/>
      <c r="M269" s="467"/>
      <c r="N269" s="467"/>
      <c r="O269" s="467"/>
      <c r="P269" s="467"/>
      <c r="Q269" s="467"/>
      <c r="R269" s="467"/>
      <c r="S269" s="467"/>
      <c r="T269" s="467"/>
    </row>
    <row r="270" spans="1:20">
      <c r="A270" s="422"/>
      <c r="B270" s="441" t="s">
        <v>1450</v>
      </c>
      <c r="C270" s="471"/>
      <c r="D270" s="469">
        <f>('[4]Bieu 57'!I270)/1000000</f>
        <v>63.534999999999997</v>
      </c>
      <c r="E270" s="467"/>
      <c r="F270" s="467"/>
      <c r="G270" s="467"/>
      <c r="H270" s="467"/>
      <c r="I270" s="345">
        <f t="shared" si="33"/>
        <v>63.534999999999997</v>
      </c>
      <c r="J270" s="467"/>
      <c r="K270" s="467"/>
      <c r="L270" s="467"/>
      <c r="M270" s="467"/>
      <c r="N270" s="467"/>
      <c r="O270" s="467"/>
      <c r="P270" s="467"/>
      <c r="Q270" s="467"/>
      <c r="R270" s="467"/>
      <c r="S270" s="467"/>
      <c r="T270" s="467"/>
    </row>
    <row r="271" spans="1:20">
      <c r="A271" s="422"/>
      <c r="B271" s="441" t="s">
        <v>1452</v>
      </c>
      <c r="C271" s="471"/>
      <c r="D271" s="469">
        <f>('[4]Bieu 57'!I271)/1000000</f>
        <v>83.89</v>
      </c>
      <c r="E271" s="467"/>
      <c r="F271" s="467"/>
      <c r="G271" s="467"/>
      <c r="H271" s="467"/>
      <c r="I271" s="345">
        <f t="shared" si="33"/>
        <v>83.89</v>
      </c>
      <c r="J271" s="467"/>
      <c r="K271" s="467"/>
      <c r="L271" s="467"/>
      <c r="M271" s="467"/>
      <c r="N271" s="467"/>
      <c r="O271" s="467"/>
      <c r="P271" s="467"/>
      <c r="Q271" s="467"/>
      <c r="R271" s="467"/>
      <c r="S271" s="467"/>
      <c r="T271" s="467"/>
    </row>
    <row r="272" spans="1:20">
      <c r="A272" s="422"/>
      <c r="B272" s="441" t="s">
        <v>1336</v>
      </c>
      <c r="C272" s="471"/>
      <c r="D272" s="469">
        <f>('[4]Bieu 57'!I272)/1000000</f>
        <v>39.387999999999998</v>
      </c>
      <c r="E272" s="467"/>
      <c r="F272" s="467"/>
      <c r="G272" s="467"/>
      <c r="H272" s="467"/>
      <c r="I272" s="345">
        <f t="shared" si="33"/>
        <v>39.387999999999998</v>
      </c>
      <c r="J272" s="467"/>
      <c r="K272" s="467"/>
      <c r="L272" s="467"/>
      <c r="M272" s="467"/>
      <c r="N272" s="467"/>
      <c r="O272" s="467"/>
      <c r="P272" s="467"/>
      <c r="Q272" s="467"/>
      <c r="R272" s="467"/>
      <c r="S272" s="467"/>
      <c r="T272" s="467"/>
    </row>
    <row r="273" spans="1:20">
      <c r="A273" s="422"/>
      <c r="B273" s="441" t="s">
        <v>1453</v>
      </c>
      <c r="C273" s="471"/>
      <c r="D273" s="469">
        <f>('[4]Bieu 57'!I273)/1000000</f>
        <v>79.941000000000003</v>
      </c>
      <c r="E273" s="467"/>
      <c r="F273" s="467"/>
      <c r="G273" s="467"/>
      <c r="H273" s="467"/>
      <c r="I273" s="345">
        <f t="shared" si="33"/>
        <v>79.941000000000003</v>
      </c>
      <c r="J273" s="467"/>
      <c r="K273" s="467"/>
      <c r="L273" s="467"/>
      <c r="M273" s="467"/>
      <c r="N273" s="467"/>
      <c r="O273" s="467"/>
      <c r="P273" s="467"/>
      <c r="Q273" s="467"/>
      <c r="R273" s="467"/>
      <c r="S273" s="467"/>
      <c r="T273" s="467"/>
    </row>
    <row r="274" spans="1:20" s="421" customFormat="1">
      <c r="A274" s="426" t="s">
        <v>128</v>
      </c>
      <c r="B274" s="361" t="s">
        <v>1474</v>
      </c>
      <c r="C274" s="468">
        <f>SUM(C275:C277)+C285+C288</f>
        <v>22574.686999999998</v>
      </c>
      <c r="D274" s="468">
        <f>SUM(D275:D277)+D285+D288</f>
        <v>22143.875499999998</v>
      </c>
      <c r="E274" s="468">
        <f t="shared" ref="E274:T274" si="34">SUM(E275:E277)+E285+E288</f>
        <v>0</v>
      </c>
      <c r="F274" s="468">
        <f t="shared" si="34"/>
        <v>0</v>
      </c>
      <c r="G274" s="468">
        <f t="shared" si="34"/>
        <v>0</v>
      </c>
      <c r="H274" s="468">
        <f t="shared" si="34"/>
        <v>0</v>
      </c>
      <c r="I274" s="468">
        <f t="shared" si="34"/>
        <v>0</v>
      </c>
      <c r="J274" s="468">
        <f t="shared" si="34"/>
        <v>22143.875499999998</v>
      </c>
      <c r="K274" s="468">
        <f t="shared" si="34"/>
        <v>0</v>
      </c>
      <c r="L274" s="468">
        <f t="shared" si="34"/>
        <v>0</v>
      </c>
      <c r="M274" s="468">
        <f t="shared" si="34"/>
        <v>0</v>
      </c>
      <c r="N274" s="468">
        <f t="shared" si="34"/>
        <v>0</v>
      </c>
      <c r="O274" s="468">
        <f t="shared" si="34"/>
        <v>0</v>
      </c>
      <c r="P274" s="468">
        <f t="shared" si="34"/>
        <v>0</v>
      </c>
      <c r="Q274" s="468">
        <f t="shared" si="34"/>
        <v>0</v>
      </c>
      <c r="R274" s="468">
        <f t="shared" si="34"/>
        <v>0</v>
      </c>
      <c r="S274" s="468">
        <f t="shared" si="34"/>
        <v>0</v>
      </c>
      <c r="T274" s="468">
        <f t="shared" si="34"/>
        <v>0</v>
      </c>
    </row>
    <row r="275" spans="1:20">
      <c r="A275" s="422">
        <v>1</v>
      </c>
      <c r="B275" s="423" t="s">
        <v>1475</v>
      </c>
      <c r="C275" s="469">
        <f>('[4]Bieu 57'!D275)/1000000</f>
        <v>1215</v>
      </c>
      <c r="D275" s="469">
        <f>('[4]Bieu 57'!I275)/1000000</f>
        <v>1215</v>
      </c>
      <c r="E275" s="467"/>
      <c r="F275" s="467"/>
      <c r="G275" s="467"/>
      <c r="H275" s="467"/>
      <c r="I275" s="467"/>
      <c r="J275" s="345">
        <f>D275</f>
        <v>1215</v>
      </c>
      <c r="K275" s="467"/>
      <c r="L275" s="467"/>
      <c r="M275" s="467"/>
      <c r="N275" s="467"/>
      <c r="O275" s="467"/>
      <c r="P275" s="467"/>
      <c r="Q275" s="467"/>
      <c r="R275" s="467"/>
      <c r="S275" s="467"/>
      <c r="T275" s="467"/>
    </row>
    <row r="276" spans="1:20">
      <c r="A276" s="422">
        <v>2</v>
      </c>
      <c r="B276" s="423" t="s">
        <v>547</v>
      </c>
      <c r="C276" s="469">
        <f>('[4]Bieu 57'!D276)/1000000</f>
        <v>1768</v>
      </c>
      <c r="D276" s="469">
        <f>('[4]Bieu 57'!I276)/1000000</f>
        <v>1768</v>
      </c>
      <c r="E276" s="467"/>
      <c r="F276" s="467"/>
      <c r="G276" s="467"/>
      <c r="H276" s="467"/>
      <c r="I276" s="467"/>
      <c r="J276" s="345">
        <f>D276</f>
        <v>1768</v>
      </c>
      <c r="K276" s="467"/>
      <c r="L276" s="467"/>
      <c r="M276" s="467"/>
      <c r="N276" s="467"/>
      <c r="O276" s="467"/>
      <c r="P276" s="467"/>
      <c r="Q276" s="467"/>
      <c r="R276" s="467"/>
      <c r="S276" s="467"/>
      <c r="T276" s="467"/>
    </row>
    <row r="277" spans="1:20" s="421" customFormat="1">
      <c r="A277" s="418">
        <v>3</v>
      </c>
      <c r="B277" s="419" t="s">
        <v>1476</v>
      </c>
      <c r="C277" s="468">
        <f>SUM(C278:C284)</f>
        <v>18721.686999999998</v>
      </c>
      <c r="D277" s="468">
        <f>SUM(D278:D284)</f>
        <v>18533.432499999999</v>
      </c>
      <c r="E277" s="468">
        <f t="shared" ref="E277:T277" si="35">SUM(E278:E284)</f>
        <v>0</v>
      </c>
      <c r="F277" s="468">
        <f t="shared" si="35"/>
        <v>0</v>
      </c>
      <c r="G277" s="468">
        <f t="shared" si="35"/>
        <v>0</v>
      </c>
      <c r="H277" s="468">
        <f t="shared" si="35"/>
        <v>0</v>
      </c>
      <c r="I277" s="468">
        <f t="shared" si="35"/>
        <v>0</v>
      </c>
      <c r="J277" s="468">
        <f t="shared" si="35"/>
        <v>18533.432499999999</v>
      </c>
      <c r="K277" s="468">
        <f t="shared" si="35"/>
        <v>0</v>
      </c>
      <c r="L277" s="468">
        <f t="shared" si="35"/>
        <v>0</v>
      </c>
      <c r="M277" s="468">
        <f t="shared" si="35"/>
        <v>0</v>
      </c>
      <c r="N277" s="468">
        <f t="shared" si="35"/>
        <v>0</v>
      </c>
      <c r="O277" s="468">
        <f t="shared" si="35"/>
        <v>0</v>
      </c>
      <c r="P277" s="468">
        <f t="shared" si="35"/>
        <v>0</v>
      </c>
      <c r="Q277" s="468">
        <f t="shared" si="35"/>
        <v>0</v>
      </c>
      <c r="R277" s="468">
        <f t="shared" si="35"/>
        <v>0</v>
      </c>
      <c r="S277" s="468">
        <f t="shared" si="35"/>
        <v>0</v>
      </c>
      <c r="T277" s="468">
        <f t="shared" si="35"/>
        <v>0</v>
      </c>
    </row>
    <row r="278" spans="1:20">
      <c r="A278" s="422"/>
      <c r="B278" s="423" t="s">
        <v>1477</v>
      </c>
      <c r="C278" s="469">
        <f>('[4]Bieu 57'!D278)/1000000</f>
        <v>3255.9940000000001</v>
      </c>
      <c r="D278" s="469">
        <f>('[4]Bieu 57'!I278)/1000000</f>
        <v>3255.9940000000001</v>
      </c>
      <c r="E278" s="467"/>
      <c r="F278" s="467"/>
      <c r="G278" s="467"/>
      <c r="H278" s="467"/>
      <c r="I278" s="467"/>
      <c r="J278" s="345">
        <f>D278</f>
        <v>3255.9940000000001</v>
      </c>
      <c r="K278" s="467"/>
      <c r="L278" s="467"/>
      <c r="M278" s="467"/>
      <c r="N278" s="467"/>
      <c r="O278" s="467"/>
      <c r="P278" s="467"/>
      <c r="Q278" s="467"/>
      <c r="R278" s="467"/>
      <c r="S278" s="467"/>
      <c r="T278" s="467"/>
    </row>
    <row r="279" spans="1:20">
      <c r="A279" s="422"/>
      <c r="B279" s="423" t="s">
        <v>1478</v>
      </c>
      <c r="C279" s="469">
        <f>('[4]Bieu 57'!D279)/1000000</f>
        <v>2546.799</v>
      </c>
      <c r="D279" s="469">
        <f>('[4]Bieu 57'!I279)/1000000</f>
        <v>2546.799</v>
      </c>
      <c r="E279" s="467"/>
      <c r="F279" s="467"/>
      <c r="G279" s="467"/>
      <c r="H279" s="467"/>
      <c r="I279" s="467"/>
      <c r="J279" s="345">
        <f t="shared" ref="J279:J284" si="36">D279</f>
        <v>2546.799</v>
      </c>
      <c r="K279" s="467"/>
      <c r="L279" s="467"/>
      <c r="M279" s="467"/>
      <c r="N279" s="467"/>
      <c r="O279" s="467"/>
      <c r="P279" s="467"/>
      <c r="Q279" s="467"/>
      <c r="R279" s="467"/>
      <c r="S279" s="467"/>
      <c r="T279" s="467"/>
    </row>
    <row r="280" spans="1:20">
      <c r="A280" s="422"/>
      <c r="B280" s="423" t="s">
        <v>1479</v>
      </c>
      <c r="C280" s="469">
        <f>('[4]Bieu 57'!D280)/1000000</f>
        <v>2206.3649999999998</v>
      </c>
      <c r="D280" s="469">
        <f>('[4]Bieu 57'!I280)/1000000</f>
        <v>2206.3649999999998</v>
      </c>
      <c r="E280" s="467"/>
      <c r="F280" s="467"/>
      <c r="G280" s="467"/>
      <c r="H280" s="467"/>
      <c r="I280" s="467"/>
      <c r="J280" s="345">
        <f t="shared" si="36"/>
        <v>2206.3649999999998</v>
      </c>
      <c r="K280" s="467"/>
      <c r="L280" s="467"/>
      <c r="M280" s="467"/>
      <c r="N280" s="467"/>
      <c r="O280" s="467"/>
      <c r="P280" s="467"/>
      <c r="Q280" s="467"/>
      <c r="R280" s="467"/>
      <c r="S280" s="467"/>
      <c r="T280" s="467"/>
    </row>
    <row r="281" spans="1:20">
      <c r="A281" s="422"/>
      <c r="B281" s="423" t="s">
        <v>1480</v>
      </c>
      <c r="C281" s="469">
        <f>('[4]Bieu 57'!D281)/1000000</f>
        <v>2566.6509999999998</v>
      </c>
      <c r="D281" s="469">
        <f>('[4]Bieu 57'!I281)/1000000</f>
        <v>2566.6509999999998</v>
      </c>
      <c r="E281" s="467"/>
      <c r="F281" s="467"/>
      <c r="G281" s="467"/>
      <c r="H281" s="467"/>
      <c r="I281" s="467"/>
      <c r="J281" s="345">
        <f t="shared" si="36"/>
        <v>2566.6509999999998</v>
      </c>
      <c r="K281" s="467"/>
      <c r="L281" s="467"/>
      <c r="M281" s="467"/>
      <c r="N281" s="467"/>
      <c r="O281" s="467"/>
      <c r="P281" s="467"/>
      <c r="Q281" s="467"/>
      <c r="R281" s="467"/>
      <c r="S281" s="467"/>
      <c r="T281" s="467"/>
    </row>
    <row r="282" spans="1:20">
      <c r="A282" s="422"/>
      <c r="B282" s="423" t="s">
        <v>1481</v>
      </c>
      <c r="C282" s="469">
        <f>('[4]Bieu 57'!D282)/1000000</f>
        <v>4065.989</v>
      </c>
      <c r="D282" s="469">
        <f>('[4]Bieu 57'!I282)/1000000</f>
        <v>3877.7345</v>
      </c>
      <c r="E282" s="467"/>
      <c r="F282" s="467"/>
      <c r="G282" s="467"/>
      <c r="H282" s="467"/>
      <c r="I282" s="467"/>
      <c r="J282" s="345">
        <f t="shared" si="36"/>
        <v>3877.7345</v>
      </c>
      <c r="K282" s="467"/>
      <c r="L282" s="467"/>
      <c r="M282" s="467"/>
      <c r="N282" s="467"/>
      <c r="O282" s="467"/>
      <c r="P282" s="467"/>
      <c r="Q282" s="467"/>
      <c r="R282" s="467"/>
      <c r="S282" s="467"/>
      <c r="T282" s="467"/>
    </row>
    <row r="283" spans="1:20">
      <c r="A283" s="422"/>
      <c r="B283" s="423" t="s">
        <v>1482</v>
      </c>
      <c r="C283" s="469">
        <f>('[4]Bieu 57'!D283)/1000000</f>
        <v>974.68899999999996</v>
      </c>
      <c r="D283" s="469">
        <f>('[4]Bieu 57'!I283)/1000000</f>
        <v>974.68899999999996</v>
      </c>
      <c r="E283" s="467"/>
      <c r="F283" s="467"/>
      <c r="G283" s="467"/>
      <c r="H283" s="467"/>
      <c r="I283" s="467"/>
      <c r="J283" s="345">
        <f t="shared" si="36"/>
        <v>974.68899999999996</v>
      </c>
      <c r="K283" s="467"/>
      <c r="L283" s="467"/>
      <c r="M283" s="467"/>
      <c r="N283" s="467"/>
      <c r="O283" s="467"/>
      <c r="P283" s="467"/>
      <c r="Q283" s="467"/>
      <c r="R283" s="467"/>
      <c r="S283" s="467"/>
      <c r="T283" s="467"/>
    </row>
    <row r="284" spans="1:20">
      <c r="A284" s="422"/>
      <c r="B284" s="423" t="s">
        <v>1483</v>
      </c>
      <c r="C284" s="469">
        <f>('[4]Bieu 57'!D284)/1000000</f>
        <v>3105.2</v>
      </c>
      <c r="D284" s="469">
        <f>('[4]Bieu 57'!I284)/1000000</f>
        <v>3105.2</v>
      </c>
      <c r="E284" s="467"/>
      <c r="F284" s="467"/>
      <c r="G284" s="467"/>
      <c r="H284" s="467"/>
      <c r="I284" s="467"/>
      <c r="J284" s="345">
        <f t="shared" si="36"/>
        <v>3105.2</v>
      </c>
      <c r="K284" s="467"/>
      <c r="L284" s="467"/>
      <c r="M284" s="467"/>
      <c r="N284" s="467"/>
      <c r="O284" s="467"/>
      <c r="P284" s="467"/>
      <c r="Q284" s="467"/>
      <c r="R284" s="467"/>
      <c r="S284" s="467"/>
      <c r="T284" s="467"/>
    </row>
    <row r="285" spans="1:20" s="421" customFormat="1">
      <c r="A285" s="418">
        <v>4</v>
      </c>
      <c r="B285" s="419" t="s">
        <v>1484</v>
      </c>
      <c r="C285" s="468">
        <f>SUM(C286:C287)</f>
        <v>575</v>
      </c>
      <c r="D285" s="468">
        <f t="shared" ref="D285:T285" si="37">SUM(D286:D287)</f>
        <v>575</v>
      </c>
      <c r="E285" s="468">
        <f t="shared" si="37"/>
        <v>0</v>
      </c>
      <c r="F285" s="468">
        <f t="shared" si="37"/>
        <v>0</v>
      </c>
      <c r="G285" s="468">
        <f t="shared" si="37"/>
        <v>0</v>
      </c>
      <c r="H285" s="468">
        <f t="shared" si="37"/>
        <v>0</v>
      </c>
      <c r="I285" s="468">
        <f t="shared" si="37"/>
        <v>0</v>
      </c>
      <c r="J285" s="468">
        <f t="shared" si="37"/>
        <v>575</v>
      </c>
      <c r="K285" s="468">
        <f t="shared" si="37"/>
        <v>0</v>
      </c>
      <c r="L285" s="468">
        <f t="shared" si="37"/>
        <v>0</v>
      </c>
      <c r="M285" s="468">
        <f t="shared" si="37"/>
        <v>0</v>
      </c>
      <c r="N285" s="468">
        <f t="shared" si="37"/>
        <v>0</v>
      </c>
      <c r="O285" s="468">
        <f t="shared" si="37"/>
        <v>0</v>
      </c>
      <c r="P285" s="468">
        <f t="shared" si="37"/>
        <v>0</v>
      </c>
      <c r="Q285" s="468">
        <f t="shared" si="37"/>
        <v>0</v>
      </c>
      <c r="R285" s="468">
        <f t="shared" si="37"/>
        <v>0</v>
      </c>
      <c r="S285" s="468">
        <f t="shared" si="37"/>
        <v>0</v>
      </c>
      <c r="T285" s="468">
        <f t="shared" si="37"/>
        <v>0</v>
      </c>
    </row>
    <row r="286" spans="1:20">
      <c r="A286" s="422"/>
      <c r="B286" s="446" t="s">
        <v>1485</v>
      </c>
      <c r="C286" s="469">
        <f>('[4]Bieu 57'!D286)/1000000</f>
        <v>480</v>
      </c>
      <c r="D286" s="469">
        <f>('[4]Bieu 57'!I286)/1000000</f>
        <v>480</v>
      </c>
      <c r="E286" s="467"/>
      <c r="F286" s="467"/>
      <c r="G286" s="467"/>
      <c r="H286" s="467"/>
      <c r="I286" s="467"/>
      <c r="J286" s="345">
        <f>D286</f>
        <v>480</v>
      </c>
      <c r="K286" s="467"/>
      <c r="L286" s="467"/>
      <c r="M286" s="467"/>
      <c r="N286" s="467"/>
      <c r="O286" s="467"/>
      <c r="P286" s="467"/>
      <c r="Q286" s="467"/>
      <c r="R286" s="467"/>
      <c r="S286" s="467"/>
      <c r="T286" s="467"/>
    </row>
    <row r="287" spans="1:20">
      <c r="A287" s="422"/>
      <c r="B287" s="446" t="s">
        <v>1486</v>
      </c>
      <c r="C287" s="469">
        <f>('[4]Bieu 57'!D287)/1000000</f>
        <v>95</v>
      </c>
      <c r="D287" s="469">
        <f>('[4]Bieu 57'!I287)/1000000</f>
        <v>95</v>
      </c>
      <c r="E287" s="467"/>
      <c r="F287" s="467"/>
      <c r="G287" s="467"/>
      <c r="H287" s="467"/>
      <c r="I287" s="467"/>
      <c r="J287" s="345">
        <f>D287</f>
        <v>95</v>
      </c>
      <c r="K287" s="467"/>
      <c r="L287" s="467"/>
      <c r="M287" s="467"/>
      <c r="N287" s="467"/>
      <c r="O287" s="467"/>
      <c r="P287" s="467"/>
      <c r="Q287" s="467"/>
      <c r="R287" s="467"/>
      <c r="S287" s="467"/>
      <c r="T287" s="467"/>
    </row>
    <row r="288" spans="1:20" s="421" customFormat="1">
      <c r="A288" s="418">
        <v>5</v>
      </c>
      <c r="B288" s="419" t="s">
        <v>1473</v>
      </c>
      <c r="C288" s="469">
        <f>('[4]Bieu 57'!D288)/1000000</f>
        <v>295</v>
      </c>
      <c r="D288" s="470">
        <f>SUM(D289:D290)</f>
        <v>52.442999999999998</v>
      </c>
      <c r="E288" s="470">
        <f t="shared" ref="E288:T288" si="38">SUM(E289:E290)</f>
        <v>0</v>
      </c>
      <c r="F288" s="470">
        <f t="shared" si="38"/>
        <v>0</v>
      </c>
      <c r="G288" s="470">
        <f t="shared" si="38"/>
        <v>0</v>
      </c>
      <c r="H288" s="470">
        <f t="shared" si="38"/>
        <v>0</v>
      </c>
      <c r="I288" s="470">
        <f t="shared" si="38"/>
        <v>0</v>
      </c>
      <c r="J288" s="470">
        <f t="shared" si="38"/>
        <v>52.442999999999998</v>
      </c>
      <c r="K288" s="470">
        <f t="shared" si="38"/>
        <v>0</v>
      </c>
      <c r="L288" s="470">
        <f t="shared" si="38"/>
        <v>0</v>
      </c>
      <c r="M288" s="470">
        <f t="shared" si="38"/>
        <v>0</v>
      </c>
      <c r="N288" s="470">
        <f t="shared" si="38"/>
        <v>0</v>
      </c>
      <c r="O288" s="470">
        <f t="shared" si="38"/>
        <v>0</v>
      </c>
      <c r="P288" s="470">
        <f t="shared" si="38"/>
        <v>0</v>
      </c>
      <c r="Q288" s="470">
        <f t="shared" si="38"/>
        <v>0</v>
      </c>
      <c r="R288" s="470">
        <f t="shared" si="38"/>
        <v>0</v>
      </c>
      <c r="S288" s="470">
        <f t="shared" si="38"/>
        <v>0</v>
      </c>
      <c r="T288" s="470">
        <f t="shared" si="38"/>
        <v>0</v>
      </c>
    </row>
    <row r="289" spans="1:20">
      <c r="A289" s="445"/>
      <c r="B289" s="446" t="s">
        <v>1477</v>
      </c>
      <c r="C289" s="471"/>
      <c r="D289" s="469">
        <f>('[4]Bieu 57'!I289)/1000000</f>
        <v>9.8719999999999999</v>
      </c>
      <c r="E289" s="467"/>
      <c r="F289" s="467"/>
      <c r="G289" s="467"/>
      <c r="H289" s="467"/>
      <c r="I289" s="467"/>
      <c r="J289" s="345">
        <f>D289</f>
        <v>9.8719999999999999</v>
      </c>
      <c r="K289" s="467"/>
      <c r="L289" s="467"/>
      <c r="M289" s="467"/>
      <c r="N289" s="467"/>
      <c r="O289" s="467"/>
      <c r="P289" s="467"/>
      <c r="Q289" s="467"/>
      <c r="R289" s="467"/>
      <c r="S289" s="467"/>
      <c r="T289" s="467"/>
    </row>
    <row r="290" spans="1:20">
      <c r="A290" s="445"/>
      <c r="B290" s="446" t="s">
        <v>1487</v>
      </c>
      <c r="C290" s="471"/>
      <c r="D290" s="469">
        <f>('[4]Bieu 57'!I290)/1000000</f>
        <v>42.570999999999998</v>
      </c>
      <c r="E290" s="467"/>
      <c r="F290" s="467"/>
      <c r="G290" s="467"/>
      <c r="H290" s="467"/>
      <c r="I290" s="467"/>
      <c r="J290" s="345">
        <f>D290</f>
        <v>42.570999999999998</v>
      </c>
      <c r="K290" s="467"/>
      <c r="L290" s="467"/>
      <c r="M290" s="467"/>
      <c r="N290" s="467"/>
      <c r="O290" s="467"/>
      <c r="P290" s="467"/>
      <c r="Q290" s="467"/>
      <c r="R290" s="467"/>
      <c r="S290" s="467"/>
      <c r="T290" s="467"/>
    </row>
    <row r="291" spans="1:20" s="421" customFormat="1">
      <c r="A291" s="426" t="s">
        <v>156</v>
      </c>
      <c r="B291" s="361" t="s">
        <v>1488</v>
      </c>
      <c r="C291" s="468">
        <f>SUM(C292:C293)</f>
        <v>31489.7</v>
      </c>
      <c r="D291" s="468">
        <f t="shared" ref="D291:T291" si="39">SUM(D292:D293)</f>
        <v>31489.7</v>
      </c>
      <c r="E291" s="468">
        <f t="shared" si="39"/>
        <v>0</v>
      </c>
      <c r="F291" s="468">
        <f t="shared" si="39"/>
        <v>0</v>
      </c>
      <c r="G291" s="468">
        <f t="shared" si="39"/>
        <v>0</v>
      </c>
      <c r="H291" s="468">
        <f t="shared" si="39"/>
        <v>0</v>
      </c>
      <c r="I291" s="468">
        <f t="shared" si="39"/>
        <v>0</v>
      </c>
      <c r="J291" s="468">
        <f t="shared" si="39"/>
        <v>0</v>
      </c>
      <c r="K291" s="468">
        <f t="shared" si="39"/>
        <v>31489.7</v>
      </c>
      <c r="L291" s="468">
        <f t="shared" si="39"/>
        <v>0</v>
      </c>
      <c r="M291" s="468">
        <f t="shared" si="39"/>
        <v>0</v>
      </c>
      <c r="N291" s="468">
        <f t="shared" si="39"/>
        <v>0</v>
      </c>
      <c r="O291" s="468">
        <f t="shared" si="39"/>
        <v>0</v>
      </c>
      <c r="P291" s="468">
        <f t="shared" si="39"/>
        <v>0</v>
      </c>
      <c r="Q291" s="468">
        <f t="shared" si="39"/>
        <v>0</v>
      </c>
      <c r="R291" s="468">
        <f t="shared" si="39"/>
        <v>0</v>
      </c>
      <c r="S291" s="468">
        <f t="shared" si="39"/>
        <v>0</v>
      </c>
      <c r="T291" s="468">
        <f t="shared" si="39"/>
        <v>0</v>
      </c>
    </row>
    <row r="292" spans="1:20">
      <c r="A292" s="450"/>
      <c r="B292" s="362" t="s">
        <v>1343</v>
      </c>
      <c r="C292" s="469">
        <f>('[4]Bieu 57'!D292)/1000000</f>
        <v>21286.7</v>
      </c>
      <c r="D292" s="469">
        <f>('[4]Bieu 57'!I292)/1000000</f>
        <v>21286.7</v>
      </c>
      <c r="E292" s="467"/>
      <c r="F292" s="467"/>
      <c r="G292" s="467"/>
      <c r="H292" s="467"/>
      <c r="I292" s="467"/>
      <c r="J292" s="467"/>
      <c r="K292" s="345">
        <f>D292</f>
        <v>21286.7</v>
      </c>
      <c r="L292" s="467"/>
      <c r="M292" s="467"/>
      <c r="N292" s="467"/>
      <c r="O292" s="467"/>
      <c r="P292" s="467"/>
      <c r="Q292" s="467"/>
      <c r="R292" s="467"/>
      <c r="S292" s="467"/>
      <c r="T292" s="467"/>
    </row>
    <row r="293" spans="1:20">
      <c r="A293" s="450"/>
      <c r="B293" s="423" t="s">
        <v>1489</v>
      </c>
      <c r="C293" s="469">
        <f>('[4]Bieu 57'!D293)/1000000</f>
        <v>10203</v>
      </c>
      <c r="D293" s="469">
        <f>('[4]Bieu 57'!I293)/1000000</f>
        <v>10203</v>
      </c>
      <c r="E293" s="467"/>
      <c r="F293" s="467"/>
      <c r="G293" s="467"/>
      <c r="H293" s="467"/>
      <c r="I293" s="467"/>
      <c r="J293" s="467"/>
      <c r="K293" s="345">
        <f>D293</f>
        <v>10203</v>
      </c>
      <c r="L293" s="467"/>
      <c r="M293" s="467"/>
      <c r="N293" s="467"/>
      <c r="O293" s="467"/>
      <c r="P293" s="467"/>
      <c r="Q293" s="467"/>
      <c r="R293" s="467"/>
      <c r="S293" s="467"/>
      <c r="T293" s="467"/>
    </row>
    <row r="294" spans="1:20" s="421" customFormat="1">
      <c r="A294" s="426" t="s">
        <v>228</v>
      </c>
      <c r="B294" s="361" t="s">
        <v>1490</v>
      </c>
      <c r="C294" s="468">
        <f>SUM(C295:C296)</f>
        <v>2742</v>
      </c>
      <c r="D294" s="468">
        <f t="shared" ref="D294:T294" si="40">SUM(D295:D296)</f>
        <v>2742</v>
      </c>
      <c r="E294" s="468">
        <f t="shared" si="40"/>
        <v>0</v>
      </c>
      <c r="F294" s="468">
        <f t="shared" si="40"/>
        <v>0</v>
      </c>
      <c r="G294" s="468">
        <f t="shared" si="40"/>
        <v>0</v>
      </c>
      <c r="H294" s="468">
        <f t="shared" si="40"/>
        <v>0</v>
      </c>
      <c r="I294" s="468">
        <f t="shared" si="40"/>
        <v>0</v>
      </c>
      <c r="J294" s="468">
        <f t="shared" si="40"/>
        <v>0</v>
      </c>
      <c r="K294" s="468">
        <f t="shared" si="40"/>
        <v>0</v>
      </c>
      <c r="L294" s="468">
        <f t="shared" si="40"/>
        <v>2742</v>
      </c>
      <c r="M294" s="468">
        <f t="shared" si="40"/>
        <v>0</v>
      </c>
      <c r="N294" s="468">
        <f t="shared" si="40"/>
        <v>0</v>
      </c>
      <c r="O294" s="468">
        <f t="shared" si="40"/>
        <v>0</v>
      </c>
      <c r="P294" s="468">
        <f t="shared" si="40"/>
        <v>0</v>
      </c>
      <c r="Q294" s="468">
        <f t="shared" si="40"/>
        <v>0</v>
      </c>
      <c r="R294" s="468">
        <f t="shared" si="40"/>
        <v>0</v>
      </c>
      <c r="S294" s="468">
        <f t="shared" si="40"/>
        <v>0</v>
      </c>
      <c r="T294" s="468">
        <f t="shared" si="40"/>
        <v>0</v>
      </c>
    </row>
    <row r="295" spans="1:20">
      <c r="A295" s="422"/>
      <c r="B295" s="423" t="s">
        <v>1491</v>
      </c>
      <c r="C295" s="469">
        <f>('[4]Bieu 57'!D295)/1000000</f>
        <v>682</v>
      </c>
      <c r="D295" s="469">
        <f>('[4]Bieu 57'!I295)/1000000</f>
        <v>682</v>
      </c>
      <c r="E295" s="467"/>
      <c r="F295" s="467"/>
      <c r="G295" s="467"/>
      <c r="H295" s="467"/>
      <c r="I295" s="467"/>
      <c r="J295" s="467"/>
      <c r="K295" s="467"/>
      <c r="L295" s="345">
        <f>D295</f>
        <v>682</v>
      </c>
      <c r="M295" s="467"/>
      <c r="N295" s="467"/>
      <c r="O295" s="467"/>
      <c r="P295" s="467"/>
      <c r="Q295" s="467"/>
      <c r="R295" s="467"/>
      <c r="S295" s="467"/>
      <c r="T295" s="467"/>
    </row>
    <row r="296" spans="1:20">
      <c r="A296" s="422"/>
      <c r="B296" s="423" t="s">
        <v>1492</v>
      </c>
      <c r="C296" s="469">
        <f>('[4]Bieu 57'!D296)/1000000</f>
        <v>2060</v>
      </c>
      <c r="D296" s="469">
        <f>('[4]Bieu 57'!I296)/1000000</f>
        <v>2060</v>
      </c>
      <c r="E296" s="467"/>
      <c r="F296" s="467"/>
      <c r="G296" s="467"/>
      <c r="H296" s="467"/>
      <c r="I296" s="467"/>
      <c r="J296" s="467"/>
      <c r="K296" s="467"/>
      <c r="L296" s="345">
        <f>D296</f>
        <v>2060</v>
      </c>
      <c r="M296" s="467"/>
      <c r="N296" s="467"/>
      <c r="O296" s="467"/>
      <c r="P296" s="467"/>
      <c r="Q296" s="467"/>
      <c r="R296" s="467"/>
      <c r="S296" s="467"/>
      <c r="T296" s="467"/>
    </row>
    <row r="297" spans="1:20" s="421" customFormat="1">
      <c r="A297" s="426" t="s">
        <v>1346</v>
      </c>
      <c r="B297" s="419" t="s">
        <v>1493</v>
      </c>
      <c r="C297" s="468">
        <f>SUM(C298:C300)</f>
        <v>1100.7</v>
      </c>
      <c r="D297" s="468">
        <f t="shared" ref="D297:T297" si="41">SUM(D298:D300)</f>
        <v>1100.7</v>
      </c>
      <c r="E297" s="468">
        <f t="shared" si="41"/>
        <v>0</v>
      </c>
      <c r="F297" s="468">
        <f t="shared" si="41"/>
        <v>0</v>
      </c>
      <c r="G297" s="468">
        <f t="shared" si="41"/>
        <v>0</v>
      </c>
      <c r="H297" s="468">
        <f t="shared" si="41"/>
        <v>0</v>
      </c>
      <c r="I297" s="468">
        <f t="shared" si="41"/>
        <v>0</v>
      </c>
      <c r="J297" s="468">
        <f t="shared" si="41"/>
        <v>0</v>
      </c>
      <c r="K297" s="468">
        <f t="shared" si="41"/>
        <v>0</v>
      </c>
      <c r="L297" s="468">
        <f t="shared" si="41"/>
        <v>0</v>
      </c>
      <c r="M297" s="468">
        <f t="shared" si="41"/>
        <v>0</v>
      </c>
      <c r="N297" s="468">
        <f t="shared" si="41"/>
        <v>1100.7</v>
      </c>
      <c r="O297" s="468">
        <f t="shared" si="41"/>
        <v>0</v>
      </c>
      <c r="P297" s="468">
        <f t="shared" si="41"/>
        <v>0</v>
      </c>
      <c r="Q297" s="468">
        <f t="shared" si="41"/>
        <v>0</v>
      </c>
      <c r="R297" s="468">
        <f t="shared" si="41"/>
        <v>0</v>
      </c>
      <c r="S297" s="468">
        <f t="shared" si="41"/>
        <v>0</v>
      </c>
      <c r="T297" s="468">
        <f t="shared" si="41"/>
        <v>0</v>
      </c>
    </row>
    <row r="298" spans="1:20">
      <c r="A298" s="422"/>
      <c r="B298" s="423" t="s">
        <v>1494</v>
      </c>
      <c r="C298" s="469">
        <f>('[4]Bieu 57'!D298)/1000000</f>
        <v>563</v>
      </c>
      <c r="D298" s="469">
        <f>('[4]Bieu 57'!I298)/1000000</f>
        <v>563</v>
      </c>
      <c r="E298" s="467"/>
      <c r="F298" s="467"/>
      <c r="G298" s="467"/>
      <c r="H298" s="467"/>
      <c r="I298" s="467"/>
      <c r="J298" s="467"/>
      <c r="K298" s="467"/>
      <c r="L298" s="467"/>
      <c r="M298" s="467"/>
      <c r="N298" s="345">
        <f>D298</f>
        <v>563</v>
      </c>
      <c r="O298" s="467"/>
      <c r="P298" s="467"/>
      <c r="Q298" s="467"/>
      <c r="R298" s="467"/>
      <c r="S298" s="467"/>
      <c r="T298" s="467"/>
    </row>
    <row r="299" spans="1:20">
      <c r="A299" s="422"/>
      <c r="B299" s="423" t="s">
        <v>1495</v>
      </c>
      <c r="C299" s="469">
        <f>('[4]Bieu 57'!D299)/1000000</f>
        <v>477.7</v>
      </c>
      <c r="D299" s="469">
        <f>('[4]Bieu 57'!I299)/1000000</f>
        <v>477.7</v>
      </c>
      <c r="E299" s="467"/>
      <c r="F299" s="467"/>
      <c r="G299" s="467"/>
      <c r="H299" s="467"/>
      <c r="I299" s="467"/>
      <c r="J299" s="467"/>
      <c r="K299" s="467"/>
      <c r="L299" s="467"/>
      <c r="M299" s="467"/>
      <c r="N299" s="345">
        <f>D299</f>
        <v>477.7</v>
      </c>
      <c r="O299" s="467"/>
      <c r="P299" s="467"/>
      <c r="Q299" s="467"/>
      <c r="R299" s="467"/>
      <c r="S299" s="467"/>
      <c r="T299" s="467"/>
    </row>
    <row r="300" spans="1:20">
      <c r="A300" s="422"/>
      <c r="B300" s="451" t="s">
        <v>1496</v>
      </c>
      <c r="C300" s="469">
        <f>('[4]Bieu 57'!D300)/1000000</f>
        <v>60</v>
      </c>
      <c r="D300" s="469">
        <f>('[4]Bieu 57'!I300)/1000000</f>
        <v>60</v>
      </c>
      <c r="E300" s="467"/>
      <c r="F300" s="467"/>
      <c r="G300" s="467"/>
      <c r="H300" s="467"/>
      <c r="I300" s="467"/>
      <c r="J300" s="467"/>
      <c r="K300" s="467"/>
      <c r="L300" s="467"/>
      <c r="M300" s="467"/>
      <c r="N300" s="345">
        <f>D300</f>
        <v>60</v>
      </c>
      <c r="O300" s="467"/>
      <c r="P300" s="467"/>
      <c r="Q300" s="467"/>
      <c r="R300" s="467"/>
      <c r="S300" s="467"/>
      <c r="T300" s="467"/>
    </row>
    <row r="301" spans="1:20" s="421" customFormat="1">
      <c r="A301" s="426" t="s">
        <v>1497</v>
      </c>
      <c r="B301" s="361" t="s">
        <v>1498</v>
      </c>
      <c r="C301" s="468">
        <f>SUM(C302:C313)</f>
        <v>12328.903</v>
      </c>
      <c r="D301" s="468">
        <f t="shared" ref="D301:T301" si="42">SUM(D302:D313)</f>
        <v>12126.409</v>
      </c>
      <c r="E301" s="468">
        <f t="shared" si="42"/>
        <v>0</v>
      </c>
      <c r="F301" s="468">
        <f t="shared" si="42"/>
        <v>0</v>
      </c>
      <c r="G301" s="468">
        <f t="shared" si="42"/>
        <v>0</v>
      </c>
      <c r="H301" s="468">
        <f t="shared" si="42"/>
        <v>0</v>
      </c>
      <c r="I301" s="468">
        <f t="shared" si="42"/>
        <v>0</v>
      </c>
      <c r="J301" s="468">
        <f t="shared" si="42"/>
        <v>0</v>
      </c>
      <c r="K301" s="468">
        <f t="shared" si="42"/>
        <v>0</v>
      </c>
      <c r="L301" s="468">
        <f t="shared" si="42"/>
        <v>0</v>
      </c>
      <c r="M301" s="468">
        <f t="shared" si="42"/>
        <v>0</v>
      </c>
      <c r="N301" s="468">
        <f t="shared" si="42"/>
        <v>12126.409</v>
      </c>
      <c r="O301" s="468">
        <f t="shared" si="42"/>
        <v>0</v>
      </c>
      <c r="P301" s="468">
        <f t="shared" si="42"/>
        <v>0</v>
      </c>
      <c r="Q301" s="468">
        <f t="shared" si="42"/>
        <v>0</v>
      </c>
      <c r="R301" s="468">
        <f t="shared" si="42"/>
        <v>0</v>
      </c>
      <c r="S301" s="468">
        <f t="shared" si="42"/>
        <v>0</v>
      </c>
      <c r="T301" s="468">
        <f t="shared" si="42"/>
        <v>0</v>
      </c>
    </row>
    <row r="302" spans="1:20">
      <c r="A302" s="422">
        <v>1</v>
      </c>
      <c r="B302" s="423" t="s">
        <v>1348</v>
      </c>
      <c r="C302" s="469">
        <f>('[4]Bieu 57'!D302)/1000000</f>
        <v>3338.5</v>
      </c>
      <c r="D302" s="469">
        <f>('[4]Bieu 57'!I302)/1000000</f>
        <v>3338.5</v>
      </c>
      <c r="E302" s="467"/>
      <c r="F302" s="467"/>
      <c r="G302" s="467"/>
      <c r="H302" s="467"/>
      <c r="I302" s="467"/>
      <c r="J302" s="467"/>
      <c r="K302" s="467"/>
      <c r="L302" s="467"/>
      <c r="M302" s="467"/>
      <c r="N302" s="345">
        <f>D302</f>
        <v>3338.5</v>
      </c>
      <c r="O302" s="467"/>
      <c r="P302" s="467"/>
      <c r="Q302" s="467"/>
      <c r="R302" s="467"/>
      <c r="S302" s="467"/>
      <c r="T302" s="467"/>
    </row>
    <row r="303" spans="1:20">
      <c r="A303" s="422">
        <v>2</v>
      </c>
      <c r="B303" s="423" t="s">
        <v>1499</v>
      </c>
      <c r="C303" s="469">
        <f>('[4]Bieu 57'!D303)/1000000</f>
        <v>0</v>
      </c>
      <c r="D303" s="469">
        <f>('[4]Bieu 57'!I303)/1000000</f>
        <v>0</v>
      </c>
      <c r="E303" s="467"/>
      <c r="F303" s="467"/>
      <c r="G303" s="467"/>
      <c r="H303" s="467"/>
      <c r="I303" s="467"/>
      <c r="J303" s="467"/>
      <c r="K303" s="467"/>
      <c r="L303" s="467"/>
      <c r="M303" s="467"/>
      <c r="N303" s="345">
        <f t="shared" ref="N303:N313" si="43">D303</f>
        <v>0</v>
      </c>
      <c r="O303" s="467"/>
      <c r="P303" s="467"/>
      <c r="Q303" s="467"/>
      <c r="R303" s="467"/>
      <c r="S303" s="467"/>
      <c r="T303" s="467"/>
    </row>
    <row r="304" spans="1:20">
      <c r="A304" s="422">
        <v>3</v>
      </c>
      <c r="B304" s="423" t="s">
        <v>1500</v>
      </c>
      <c r="C304" s="469">
        <f>('[4]Bieu 57'!D304)/1000000</f>
        <v>2841.4870000000001</v>
      </c>
      <c r="D304" s="469">
        <f>('[4]Bieu 57'!I304)/1000000</f>
        <v>2754.9960000000001</v>
      </c>
      <c r="E304" s="467"/>
      <c r="F304" s="467"/>
      <c r="G304" s="467"/>
      <c r="H304" s="467"/>
      <c r="I304" s="467"/>
      <c r="J304" s="467"/>
      <c r="K304" s="467"/>
      <c r="L304" s="467"/>
      <c r="M304" s="467"/>
      <c r="N304" s="345">
        <f t="shared" si="43"/>
        <v>2754.9960000000001</v>
      </c>
      <c r="O304" s="467"/>
      <c r="P304" s="467"/>
      <c r="Q304" s="467"/>
      <c r="R304" s="467"/>
      <c r="S304" s="467"/>
      <c r="T304" s="467"/>
    </row>
    <row r="305" spans="1:20">
      <c r="A305" s="422">
        <v>4</v>
      </c>
      <c r="B305" s="423" t="s">
        <v>1349</v>
      </c>
      <c r="C305" s="469">
        <f>('[4]Bieu 57'!D305)/1000000</f>
        <v>0</v>
      </c>
      <c r="D305" s="469">
        <f>('[4]Bieu 57'!I305)/1000000</f>
        <v>0</v>
      </c>
      <c r="E305" s="467"/>
      <c r="F305" s="467"/>
      <c r="G305" s="467"/>
      <c r="H305" s="467"/>
      <c r="I305" s="467"/>
      <c r="J305" s="467"/>
      <c r="K305" s="467"/>
      <c r="L305" s="467"/>
      <c r="M305" s="467"/>
      <c r="N305" s="345">
        <f t="shared" si="43"/>
        <v>0</v>
      </c>
      <c r="O305" s="467"/>
      <c r="P305" s="467"/>
      <c r="Q305" s="467"/>
      <c r="R305" s="467"/>
      <c r="S305" s="467"/>
      <c r="T305" s="467"/>
    </row>
    <row r="306" spans="1:20" ht="25.5">
      <c r="A306" s="422">
        <v>5</v>
      </c>
      <c r="B306" s="423" t="s">
        <v>1350</v>
      </c>
      <c r="C306" s="469">
        <f>('[4]Bieu 57'!D306)/1000000</f>
        <v>557.75599999999997</v>
      </c>
      <c r="D306" s="469">
        <f>('[4]Bieu 57'!I306)/1000000</f>
        <v>557.75599999999997</v>
      </c>
      <c r="E306" s="467"/>
      <c r="F306" s="467"/>
      <c r="G306" s="467"/>
      <c r="H306" s="467"/>
      <c r="I306" s="467"/>
      <c r="J306" s="467"/>
      <c r="K306" s="467"/>
      <c r="L306" s="467"/>
      <c r="M306" s="467"/>
      <c r="N306" s="345">
        <f t="shared" si="43"/>
        <v>557.75599999999997</v>
      </c>
      <c r="O306" s="467"/>
      <c r="P306" s="467"/>
      <c r="Q306" s="467"/>
      <c r="R306" s="467"/>
      <c r="S306" s="467"/>
      <c r="T306" s="467"/>
    </row>
    <row r="307" spans="1:20">
      <c r="A307" s="422">
        <v>6</v>
      </c>
      <c r="B307" s="423" t="s">
        <v>1501</v>
      </c>
      <c r="C307" s="469">
        <f>('[4]Bieu 57'!D307)/1000000</f>
        <v>2689.11</v>
      </c>
      <c r="D307" s="469">
        <f>('[4]Bieu 57'!I307)/1000000</f>
        <v>2613.6060000000002</v>
      </c>
      <c r="E307" s="467"/>
      <c r="F307" s="467"/>
      <c r="G307" s="467"/>
      <c r="H307" s="467"/>
      <c r="I307" s="467"/>
      <c r="J307" s="467"/>
      <c r="K307" s="467"/>
      <c r="L307" s="467"/>
      <c r="M307" s="467"/>
      <c r="N307" s="345">
        <f t="shared" si="43"/>
        <v>2613.6060000000002</v>
      </c>
      <c r="O307" s="467"/>
      <c r="P307" s="467"/>
      <c r="Q307" s="467"/>
      <c r="R307" s="467"/>
      <c r="S307" s="467"/>
      <c r="T307" s="467"/>
    </row>
    <row r="308" spans="1:20" ht="25.5">
      <c r="A308" s="422">
        <v>7</v>
      </c>
      <c r="B308" s="423" t="s">
        <v>1351</v>
      </c>
      <c r="C308" s="469">
        <f>('[4]Bieu 57'!D308)/1000000</f>
        <v>1381.5</v>
      </c>
      <c r="D308" s="469">
        <f>('[4]Bieu 57'!I308)/1000000</f>
        <v>1346.5709999999999</v>
      </c>
      <c r="E308" s="467"/>
      <c r="F308" s="467"/>
      <c r="G308" s="467"/>
      <c r="H308" s="467"/>
      <c r="I308" s="467"/>
      <c r="J308" s="467"/>
      <c r="K308" s="467"/>
      <c r="L308" s="467"/>
      <c r="M308" s="467"/>
      <c r="N308" s="345">
        <f t="shared" si="43"/>
        <v>1346.5709999999999</v>
      </c>
      <c r="O308" s="467"/>
      <c r="P308" s="467"/>
      <c r="Q308" s="467"/>
      <c r="R308" s="467"/>
      <c r="S308" s="467"/>
      <c r="T308" s="467"/>
    </row>
    <row r="309" spans="1:20">
      <c r="A309" s="422">
        <v>8</v>
      </c>
      <c r="B309" s="437" t="s">
        <v>1502</v>
      </c>
      <c r="C309" s="469">
        <f>('[4]Bieu 57'!D309)/1000000</f>
        <v>387</v>
      </c>
      <c r="D309" s="469">
        <f>('[4]Bieu 57'!I309)/1000000</f>
        <v>387</v>
      </c>
      <c r="E309" s="467"/>
      <c r="F309" s="467"/>
      <c r="G309" s="467"/>
      <c r="H309" s="467"/>
      <c r="I309" s="467"/>
      <c r="J309" s="467"/>
      <c r="K309" s="467"/>
      <c r="L309" s="467"/>
      <c r="M309" s="467"/>
      <c r="N309" s="345">
        <f t="shared" si="43"/>
        <v>387</v>
      </c>
      <c r="O309" s="467"/>
      <c r="P309" s="467"/>
      <c r="Q309" s="467"/>
      <c r="R309" s="467"/>
      <c r="S309" s="467"/>
      <c r="T309" s="467"/>
    </row>
    <row r="310" spans="1:20">
      <c r="A310" s="422">
        <v>9</v>
      </c>
      <c r="B310" s="452" t="s">
        <v>1503</v>
      </c>
      <c r="C310" s="469">
        <f>('[4]Bieu 57'!D310)/1000000</f>
        <v>788</v>
      </c>
      <c r="D310" s="469">
        <f>('[4]Bieu 57'!I310)/1000000</f>
        <v>788</v>
      </c>
      <c r="E310" s="467"/>
      <c r="F310" s="467"/>
      <c r="G310" s="467"/>
      <c r="H310" s="467"/>
      <c r="I310" s="467"/>
      <c r="J310" s="467"/>
      <c r="K310" s="467"/>
      <c r="L310" s="467"/>
      <c r="M310" s="467"/>
      <c r="N310" s="345">
        <f t="shared" si="43"/>
        <v>788</v>
      </c>
      <c r="O310" s="467"/>
      <c r="P310" s="467"/>
      <c r="Q310" s="467"/>
      <c r="R310" s="467"/>
      <c r="S310" s="467"/>
      <c r="T310" s="467"/>
    </row>
    <row r="311" spans="1:20" ht="25.5">
      <c r="A311" s="422">
        <v>10</v>
      </c>
      <c r="B311" s="427" t="s">
        <v>1504</v>
      </c>
      <c r="C311" s="469">
        <f>('[4]Bieu 57'!D311)/1000000</f>
        <v>58.5</v>
      </c>
      <c r="D311" s="469">
        <f>('[4]Bieu 57'!I311)/1000000</f>
        <v>52.93</v>
      </c>
      <c r="E311" s="467"/>
      <c r="F311" s="467"/>
      <c r="G311" s="467"/>
      <c r="H311" s="467"/>
      <c r="I311" s="467"/>
      <c r="J311" s="467"/>
      <c r="K311" s="467"/>
      <c r="L311" s="467"/>
      <c r="M311" s="467"/>
      <c r="N311" s="345">
        <f t="shared" si="43"/>
        <v>52.93</v>
      </c>
      <c r="O311" s="467"/>
      <c r="P311" s="467"/>
      <c r="Q311" s="467"/>
      <c r="R311" s="467"/>
      <c r="S311" s="467"/>
      <c r="T311" s="467"/>
    </row>
    <row r="312" spans="1:20" ht="25.5">
      <c r="A312" s="422">
        <v>11</v>
      </c>
      <c r="B312" s="427" t="s">
        <v>1505</v>
      </c>
      <c r="C312" s="469">
        <f>('[4]Bieu 57'!D312)/1000000</f>
        <v>189</v>
      </c>
      <c r="D312" s="469">
        <f>('[4]Bieu 57'!I312)/1000000</f>
        <v>189</v>
      </c>
      <c r="E312" s="467"/>
      <c r="F312" s="467"/>
      <c r="G312" s="467"/>
      <c r="H312" s="467"/>
      <c r="I312" s="467"/>
      <c r="J312" s="467"/>
      <c r="K312" s="467"/>
      <c r="L312" s="467"/>
      <c r="M312" s="467"/>
      <c r="N312" s="345">
        <f t="shared" si="43"/>
        <v>189</v>
      </c>
      <c r="O312" s="467"/>
      <c r="P312" s="467"/>
      <c r="Q312" s="467"/>
      <c r="R312" s="467"/>
      <c r="S312" s="467"/>
      <c r="T312" s="467"/>
    </row>
    <row r="313" spans="1:20" ht="25.5">
      <c r="A313" s="422">
        <v>12</v>
      </c>
      <c r="B313" s="427" t="s">
        <v>1506</v>
      </c>
      <c r="C313" s="469">
        <f>('[4]Bieu 57'!D313)/1000000</f>
        <v>98.05</v>
      </c>
      <c r="D313" s="469">
        <f>('[4]Bieu 57'!I313)/1000000</f>
        <v>98.05</v>
      </c>
      <c r="E313" s="467"/>
      <c r="F313" s="467"/>
      <c r="G313" s="467"/>
      <c r="H313" s="467"/>
      <c r="I313" s="467"/>
      <c r="J313" s="467"/>
      <c r="K313" s="467"/>
      <c r="L313" s="467"/>
      <c r="M313" s="467"/>
      <c r="N313" s="345">
        <f t="shared" si="43"/>
        <v>98.05</v>
      </c>
      <c r="O313" s="467"/>
      <c r="P313" s="467"/>
      <c r="Q313" s="467"/>
      <c r="R313" s="467"/>
      <c r="S313" s="467"/>
      <c r="T313" s="467"/>
    </row>
    <row r="314" spans="1:20" s="421" customFormat="1" ht="25.5">
      <c r="A314" s="426" t="s">
        <v>1507</v>
      </c>
      <c r="B314" s="361" t="s">
        <v>1508</v>
      </c>
      <c r="C314" s="468">
        <f>C315+C360+C370</f>
        <v>334703.16668399994</v>
      </c>
      <c r="D314" s="468">
        <f>D315+D360+D370</f>
        <v>329326.41765800002</v>
      </c>
      <c r="E314" s="468">
        <f t="shared" ref="E314:T314" si="44">E315+E360+E370</f>
        <v>0</v>
      </c>
      <c r="F314" s="468">
        <f t="shared" si="44"/>
        <v>0</v>
      </c>
      <c r="G314" s="468">
        <f t="shared" si="44"/>
        <v>0</v>
      </c>
      <c r="H314" s="468">
        <f t="shared" si="44"/>
        <v>0</v>
      </c>
      <c r="I314" s="468">
        <f t="shared" si="44"/>
        <v>0</v>
      </c>
      <c r="J314" s="468">
        <f t="shared" si="44"/>
        <v>0</v>
      </c>
      <c r="K314" s="468">
        <f t="shared" si="44"/>
        <v>0</v>
      </c>
      <c r="L314" s="468">
        <f t="shared" si="44"/>
        <v>0</v>
      </c>
      <c r="M314" s="468">
        <f t="shared" si="44"/>
        <v>0</v>
      </c>
      <c r="N314" s="468">
        <f t="shared" si="44"/>
        <v>0</v>
      </c>
      <c r="O314" s="468">
        <f t="shared" si="44"/>
        <v>0</v>
      </c>
      <c r="P314" s="468">
        <f t="shared" si="44"/>
        <v>0</v>
      </c>
      <c r="Q314" s="468">
        <f t="shared" si="44"/>
        <v>329326.41765800002</v>
      </c>
      <c r="R314" s="468">
        <f t="shared" si="44"/>
        <v>0</v>
      </c>
      <c r="S314" s="468">
        <f t="shared" si="44"/>
        <v>0</v>
      </c>
      <c r="T314" s="468">
        <f t="shared" si="44"/>
        <v>0</v>
      </c>
    </row>
    <row r="315" spans="1:20" s="421" customFormat="1">
      <c r="A315" s="426" t="s">
        <v>191</v>
      </c>
      <c r="B315" s="453" t="s">
        <v>1509</v>
      </c>
      <c r="C315" s="468">
        <f>SUM(C316:C346)+C356+C357+C358+C359</f>
        <v>212900.86902899994</v>
      </c>
      <c r="D315" s="468">
        <f>SUM(D316:D346)+D356+D357+D358+D359</f>
        <v>208905.46725799996</v>
      </c>
      <c r="E315" s="468">
        <f t="shared" ref="E315:T315" si="45">SUM(E316:E346)+E356+E357+E358+E359</f>
        <v>0</v>
      </c>
      <c r="F315" s="468">
        <f t="shared" si="45"/>
        <v>0</v>
      </c>
      <c r="G315" s="468">
        <f t="shared" si="45"/>
        <v>0</v>
      </c>
      <c r="H315" s="468">
        <f t="shared" si="45"/>
        <v>0</v>
      </c>
      <c r="I315" s="468">
        <f t="shared" si="45"/>
        <v>0</v>
      </c>
      <c r="J315" s="468">
        <f t="shared" si="45"/>
        <v>0</v>
      </c>
      <c r="K315" s="468">
        <f t="shared" si="45"/>
        <v>0</v>
      </c>
      <c r="L315" s="468">
        <f t="shared" si="45"/>
        <v>0</v>
      </c>
      <c r="M315" s="468">
        <f t="shared" si="45"/>
        <v>0</v>
      </c>
      <c r="N315" s="468">
        <f t="shared" si="45"/>
        <v>0</v>
      </c>
      <c r="O315" s="468">
        <f t="shared" si="45"/>
        <v>0</v>
      </c>
      <c r="P315" s="468">
        <f t="shared" si="45"/>
        <v>0</v>
      </c>
      <c r="Q315" s="468">
        <f t="shared" si="45"/>
        <v>208905.46725799996</v>
      </c>
      <c r="R315" s="468">
        <f t="shared" si="45"/>
        <v>0</v>
      </c>
      <c r="S315" s="468">
        <f t="shared" si="45"/>
        <v>0</v>
      </c>
      <c r="T315" s="468">
        <f t="shared" si="45"/>
        <v>0</v>
      </c>
    </row>
    <row r="316" spans="1:20">
      <c r="A316" s="428">
        <v>1</v>
      </c>
      <c r="B316" s="454" t="s">
        <v>1510</v>
      </c>
      <c r="C316" s="469">
        <f>('[4]Bieu 57'!D316)/1000000</f>
        <v>4521</v>
      </c>
      <c r="D316" s="469">
        <f>('[4]Bieu 57'!I316)/1000000</f>
        <v>4521</v>
      </c>
      <c r="E316" s="467"/>
      <c r="F316" s="467"/>
      <c r="G316" s="467"/>
      <c r="H316" s="467"/>
      <c r="I316" s="467"/>
      <c r="J316" s="467"/>
      <c r="K316" s="467"/>
      <c r="L316" s="467"/>
      <c r="M316" s="467"/>
      <c r="N316" s="467"/>
      <c r="O316" s="467"/>
      <c r="P316" s="467"/>
      <c r="Q316" s="345">
        <f>D316</f>
        <v>4521</v>
      </c>
      <c r="R316" s="467"/>
      <c r="S316" s="467"/>
      <c r="T316" s="467"/>
    </row>
    <row r="317" spans="1:20">
      <c r="A317" s="428">
        <v>2</v>
      </c>
      <c r="B317" s="454" t="s">
        <v>1511</v>
      </c>
      <c r="C317" s="469">
        <f>('[4]Bieu 57'!D317)/1000000</f>
        <v>5036.1629999999996</v>
      </c>
      <c r="D317" s="469">
        <f>('[4]Bieu 57'!I317)/1000000</f>
        <v>5025.0159999999996</v>
      </c>
      <c r="E317" s="467"/>
      <c r="F317" s="467"/>
      <c r="G317" s="467"/>
      <c r="H317" s="467"/>
      <c r="I317" s="467"/>
      <c r="J317" s="467"/>
      <c r="K317" s="467"/>
      <c r="L317" s="467"/>
      <c r="M317" s="467"/>
      <c r="N317" s="467"/>
      <c r="O317" s="467"/>
      <c r="P317" s="467"/>
      <c r="Q317" s="345">
        <f t="shared" ref="Q317:Q380" si="46">D317</f>
        <v>5025.0159999999996</v>
      </c>
      <c r="R317" s="467"/>
      <c r="S317" s="467"/>
      <c r="T317" s="467"/>
    </row>
    <row r="318" spans="1:20">
      <c r="A318" s="428">
        <v>3</v>
      </c>
      <c r="B318" s="454" t="s">
        <v>1512</v>
      </c>
      <c r="C318" s="469">
        <f>('[4]Bieu 57'!D318)/1000000</f>
        <v>7528.4679999999998</v>
      </c>
      <c r="D318" s="469">
        <f>('[4]Bieu 57'!I318)/1000000</f>
        <v>7528.4679999999998</v>
      </c>
      <c r="E318" s="467"/>
      <c r="F318" s="467"/>
      <c r="G318" s="467"/>
      <c r="H318" s="467"/>
      <c r="I318" s="467"/>
      <c r="J318" s="467"/>
      <c r="K318" s="467"/>
      <c r="L318" s="467"/>
      <c r="M318" s="467"/>
      <c r="N318" s="467"/>
      <c r="O318" s="467"/>
      <c r="P318" s="467"/>
      <c r="Q318" s="345">
        <f t="shared" si="46"/>
        <v>7528.4679999999998</v>
      </c>
      <c r="R318" s="467"/>
      <c r="S318" s="467"/>
      <c r="T318" s="467"/>
    </row>
    <row r="319" spans="1:20">
      <c r="A319" s="428">
        <v>4</v>
      </c>
      <c r="B319" s="454" t="s">
        <v>1513</v>
      </c>
      <c r="C319" s="469">
        <f>('[4]Bieu 57'!D319)/1000000</f>
        <v>7937.5</v>
      </c>
      <c r="D319" s="469">
        <f>('[4]Bieu 57'!I319)/1000000</f>
        <v>6119.6887999999999</v>
      </c>
      <c r="E319" s="467"/>
      <c r="F319" s="467"/>
      <c r="G319" s="467"/>
      <c r="H319" s="467"/>
      <c r="I319" s="467"/>
      <c r="J319" s="467"/>
      <c r="K319" s="467"/>
      <c r="L319" s="467"/>
      <c r="M319" s="467"/>
      <c r="N319" s="467"/>
      <c r="O319" s="467"/>
      <c r="P319" s="467"/>
      <c r="Q319" s="345">
        <f t="shared" si="46"/>
        <v>6119.6887999999999</v>
      </c>
      <c r="R319" s="467"/>
      <c r="S319" s="467"/>
      <c r="T319" s="467"/>
    </row>
    <row r="320" spans="1:20">
      <c r="A320" s="428">
        <v>5</v>
      </c>
      <c r="B320" s="454" t="s">
        <v>1514</v>
      </c>
      <c r="C320" s="469">
        <f>('[4]Bieu 57'!D320)/1000000</f>
        <v>7979.5129999999999</v>
      </c>
      <c r="D320" s="469">
        <f>('[4]Bieu 57'!I320)/1000000</f>
        <v>7979.5129999999999</v>
      </c>
      <c r="E320" s="467"/>
      <c r="F320" s="467"/>
      <c r="G320" s="467"/>
      <c r="H320" s="467"/>
      <c r="I320" s="467"/>
      <c r="J320" s="467"/>
      <c r="K320" s="467"/>
      <c r="L320" s="467"/>
      <c r="M320" s="467"/>
      <c r="N320" s="467"/>
      <c r="O320" s="467"/>
      <c r="P320" s="467"/>
      <c r="Q320" s="345">
        <f t="shared" si="46"/>
        <v>7979.5129999999999</v>
      </c>
      <c r="R320" s="467"/>
      <c r="S320" s="467"/>
      <c r="T320" s="467"/>
    </row>
    <row r="321" spans="1:20">
      <c r="A321" s="428">
        <v>6</v>
      </c>
      <c r="B321" s="454" t="s">
        <v>545</v>
      </c>
      <c r="C321" s="469">
        <f>('[4]Bieu 57'!D321)/1000000</f>
        <v>3923.9</v>
      </c>
      <c r="D321" s="469">
        <f>('[4]Bieu 57'!I321)/1000000</f>
        <v>3781.1232460000001</v>
      </c>
      <c r="E321" s="467"/>
      <c r="F321" s="467"/>
      <c r="G321" s="467"/>
      <c r="H321" s="467"/>
      <c r="I321" s="467"/>
      <c r="J321" s="467"/>
      <c r="K321" s="467"/>
      <c r="L321" s="467"/>
      <c r="M321" s="467"/>
      <c r="N321" s="467"/>
      <c r="O321" s="467"/>
      <c r="P321" s="467"/>
      <c r="Q321" s="345">
        <f t="shared" si="46"/>
        <v>3781.1232460000001</v>
      </c>
      <c r="R321" s="467"/>
      <c r="S321" s="467"/>
      <c r="T321" s="467"/>
    </row>
    <row r="322" spans="1:20">
      <c r="A322" s="428">
        <v>7</v>
      </c>
      <c r="B322" s="454" t="s">
        <v>512</v>
      </c>
      <c r="C322" s="469">
        <f>('[4]Bieu 57'!D322)/1000000</f>
        <v>4841.07</v>
      </c>
      <c r="D322" s="469">
        <f>('[4]Bieu 57'!I322)/1000000</f>
        <v>4783.07</v>
      </c>
      <c r="E322" s="467"/>
      <c r="F322" s="467"/>
      <c r="G322" s="467"/>
      <c r="H322" s="467"/>
      <c r="I322" s="467"/>
      <c r="J322" s="467"/>
      <c r="K322" s="467"/>
      <c r="L322" s="467"/>
      <c r="M322" s="467"/>
      <c r="N322" s="467"/>
      <c r="O322" s="467"/>
      <c r="P322" s="467"/>
      <c r="Q322" s="345">
        <f t="shared" si="46"/>
        <v>4783.07</v>
      </c>
      <c r="R322" s="467"/>
      <c r="S322" s="467"/>
      <c r="T322" s="467"/>
    </row>
    <row r="323" spans="1:20">
      <c r="A323" s="428">
        <v>8</v>
      </c>
      <c r="B323" s="454" t="s">
        <v>1515</v>
      </c>
      <c r="C323" s="469">
        <f>('[4]Bieu 57'!D323)/1000000</f>
        <v>5561.9129999999996</v>
      </c>
      <c r="D323" s="469">
        <f>('[4]Bieu 57'!I323)/1000000</f>
        <v>5561.9129999999996</v>
      </c>
      <c r="E323" s="467"/>
      <c r="F323" s="467"/>
      <c r="G323" s="467"/>
      <c r="H323" s="467"/>
      <c r="I323" s="467"/>
      <c r="J323" s="467"/>
      <c r="K323" s="467"/>
      <c r="L323" s="467"/>
      <c r="M323" s="467"/>
      <c r="N323" s="467"/>
      <c r="O323" s="467"/>
      <c r="P323" s="467"/>
      <c r="Q323" s="345">
        <f t="shared" si="46"/>
        <v>5561.9129999999996</v>
      </c>
      <c r="R323" s="467"/>
      <c r="S323" s="467"/>
      <c r="T323" s="467"/>
    </row>
    <row r="324" spans="1:20">
      <c r="A324" s="428">
        <v>9</v>
      </c>
      <c r="B324" s="454" t="s">
        <v>1516</v>
      </c>
      <c r="C324" s="469">
        <f>('[4]Bieu 57'!D324)/1000000</f>
        <v>3874.1698000000001</v>
      </c>
      <c r="D324" s="469">
        <f>('[4]Bieu 57'!I324)/1000000</f>
        <v>3847.5648000000001</v>
      </c>
      <c r="E324" s="467"/>
      <c r="F324" s="467"/>
      <c r="G324" s="467"/>
      <c r="H324" s="467"/>
      <c r="I324" s="467"/>
      <c r="J324" s="467"/>
      <c r="K324" s="467"/>
      <c r="L324" s="467"/>
      <c r="M324" s="467"/>
      <c r="N324" s="467"/>
      <c r="O324" s="467"/>
      <c r="P324" s="467"/>
      <c r="Q324" s="345">
        <f t="shared" si="46"/>
        <v>3847.5648000000001</v>
      </c>
      <c r="R324" s="467"/>
      <c r="S324" s="467"/>
      <c r="T324" s="467"/>
    </row>
    <row r="325" spans="1:20">
      <c r="A325" s="428">
        <v>10</v>
      </c>
      <c r="B325" s="454" t="s">
        <v>525</v>
      </c>
      <c r="C325" s="469">
        <f>('[4]Bieu 57'!D325)/1000000</f>
        <v>4503</v>
      </c>
      <c r="D325" s="469">
        <f>('[4]Bieu 57'!I325)/1000000</f>
        <v>4503</v>
      </c>
      <c r="E325" s="467"/>
      <c r="F325" s="467"/>
      <c r="G325" s="467"/>
      <c r="H325" s="467"/>
      <c r="I325" s="467"/>
      <c r="J325" s="467"/>
      <c r="K325" s="467"/>
      <c r="L325" s="467"/>
      <c r="M325" s="467"/>
      <c r="N325" s="467"/>
      <c r="O325" s="467"/>
      <c r="P325" s="467"/>
      <c r="Q325" s="345">
        <f t="shared" si="46"/>
        <v>4503</v>
      </c>
      <c r="R325" s="467"/>
      <c r="S325" s="467"/>
      <c r="T325" s="467"/>
    </row>
    <row r="326" spans="1:20">
      <c r="A326" s="428">
        <v>11</v>
      </c>
      <c r="B326" s="454" t="s">
        <v>1517</v>
      </c>
      <c r="C326" s="469">
        <f>('[4]Bieu 57'!D326)/1000000</f>
        <v>3493.4839999999999</v>
      </c>
      <c r="D326" s="469">
        <f>('[4]Bieu 57'!I326)/1000000</f>
        <v>3327.3470000000002</v>
      </c>
      <c r="E326" s="467"/>
      <c r="F326" s="467"/>
      <c r="G326" s="467"/>
      <c r="H326" s="467"/>
      <c r="I326" s="467"/>
      <c r="J326" s="467"/>
      <c r="K326" s="467"/>
      <c r="L326" s="467"/>
      <c r="M326" s="467"/>
      <c r="N326" s="467"/>
      <c r="O326" s="467"/>
      <c r="P326" s="467"/>
      <c r="Q326" s="345">
        <f t="shared" si="46"/>
        <v>3327.3470000000002</v>
      </c>
      <c r="R326" s="467"/>
      <c r="S326" s="467"/>
      <c r="T326" s="467"/>
    </row>
    <row r="327" spans="1:20">
      <c r="A327" s="428">
        <v>12</v>
      </c>
      <c r="B327" s="454" t="s">
        <v>1518</v>
      </c>
      <c r="C327" s="469">
        <f>('[4]Bieu 57'!D327)/1000000</f>
        <v>1353.5029999999999</v>
      </c>
      <c r="D327" s="469">
        <f>('[4]Bieu 57'!I327)/1000000</f>
        <v>1353.5029999999999</v>
      </c>
      <c r="E327" s="467"/>
      <c r="F327" s="467"/>
      <c r="G327" s="467"/>
      <c r="H327" s="467"/>
      <c r="I327" s="467"/>
      <c r="J327" s="467"/>
      <c r="K327" s="467"/>
      <c r="L327" s="467"/>
      <c r="M327" s="467"/>
      <c r="N327" s="467"/>
      <c r="O327" s="467"/>
      <c r="P327" s="467"/>
      <c r="Q327" s="345">
        <f t="shared" si="46"/>
        <v>1353.5029999999999</v>
      </c>
      <c r="R327" s="467"/>
      <c r="S327" s="467"/>
      <c r="T327" s="467"/>
    </row>
    <row r="328" spans="1:20">
      <c r="A328" s="428">
        <v>13</v>
      </c>
      <c r="B328" s="454" t="s">
        <v>1519</v>
      </c>
      <c r="C328" s="469">
        <f>('[4]Bieu 57'!D328)/1000000</f>
        <v>5326.6030000000001</v>
      </c>
      <c r="D328" s="469">
        <f>('[4]Bieu 57'!I328)/1000000</f>
        <v>5326.6030000000001</v>
      </c>
      <c r="E328" s="467"/>
      <c r="F328" s="467"/>
      <c r="G328" s="467"/>
      <c r="H328" s="467"/>
      <c r="I328" s="467"/>
      <c r="J328" s="467"/>
      <c r="K328" s="467"/>
      <c r="L328" s="467"/>
      <c r="M328" s="467"/>
      <c r="N328" s="467"/>
      <c r="O328" s="467"/>
      <c r="P328" s="467"/>
      <c r="Q328" s="345">
        <f t="shared" si="46"/>
        <v>5326.6030000000001</v>
      </c>
      <c r="R328" s="467"/>
      <c r="S328" s="467"/>
      <c r="T328" s="467"/>
    </row>
    <row r="329" spans="1:20">
      <c r="A329" s="428">
        <v>14</v>
      </c>
      <c r="B329" s="454" t="s">
        <v>1520</v>
      </c>
      <c r="C329" s="469">
        <f>('[4]Bieu 57'!D329)/1000000</f>
        <v>3575.6819999999998</v>
      </c>
      <c r="D329" s="469">
        <f>('[4]Bieu 57'!I329)/1000000</f>
        <v>3575.6819999999998</v>
      </c>
      <c r="E329" s="467"/>
      <c r="F329" s="467"/>
      <c r="G329" s="467"/>
      <c r="H329" s="467"/>
      <c r="I329" s="467"/>
      <c r="J329" s="467"/>
      <c r="K329" s="467"/>
      <c r="L329" s="467"/>
      <c r="M329" s="467"/>
      <c r="N329" s="467"/>
      <c r="O329" s="467"/>
      <c r="P329" s="467"/>
      <c r="Q329" s="345">
        <f t="shared" si="46"/>
        <v>3575.6819999999998</v>
      </c>
      <c r="R329" s="467"/>
      <c r="S329" s="467"/>
      <c r="T329" s="467"/>
    </row>
    <row r="330" spans="1:20">
      <c r="A330" s="428">
        <v>15</v>
      </c>
      <c r="B330" s="454" t="s">
        <v>1521</v>
      </c>
      <c r="C330" s="469">
        <f>('[4]Bieu 57'!D330)/1000000</f>
        <v>6483.1689999999999</v>
      </c>
      <c r="D330" s="469">
        <f>('[4]Bieu 57'!I330)/1000000</f>
        <v>6183.1689999999999</v>
      </c>
      <c r="E330" s="467"/>
      <c r="F330" s="467"/>
      <c r="G330" s="467"/>
      <c r="H330" s="467"/>
      <c r="I330" s="467"/>
      <c r="J330" s="467"/>
      <c r="K330" s="467"/>
      <c r="L330" s="467"/>
      <c r="M330" s="467"/>
      <c r="N330" s="467"/>
      <c r="O330" s="467"/>
      <c r="P330" s="467"/>
      <c r="Q330" s="345">
        <f t="shared" si="46"/>
        <v>6183.1689999999999</v>
      </c>
      <c r="R330" s="467"/>
      <c r="S330" s="467"/>
      <c r="T330" s="467"/>
    </row>
    <row r="331" spans="1:20">
      <c r="A331" s="428">
        <v>16</v>
      </c>
      <c r="B331" s="454" t="s">
        <v>1522</v>
      </c>
      <c r="C331" s="469">
        <f>('[4]Bieu 57'!D331)/1000000</f>
        <v>5608.9530000000004</v>
      </c>
      <c r="D331" s="469">
        <f>('[4]Bieu 57'!I331)/1000000</f>
        <v>5460.0526829999999</v>
      </c>
      <c r="E331" s="467"/>
      <c r="F331" s="467"/>
      <c r="G331" s="467"/>
      <c r="H331" s="467"/>
      <c r="I331" s="467"/>
      <c r="J331" s="467"/>
      <c r="K331" s="467"/>
      <c r="L331" s="467"/>
      <c r="M331" s="467"/>
      <c r="N331" s="467"/>
      <c r="O331" s="467"/>
      <c r="P331" s="467"/>
      <c r="Q331" s="345">
        <f t="shared" si="46"/>
        <v>5460.0526829999999</v>
      </c>
      <c r="R331" s="467"/>
      <c r="S331" s="467"/>
      <c r="T331" s="467"/>
    </row>
    <row r="332" spans="1:20">
      <c r="A332" s="428">
        <v>18</v>
      </c>
      <c r="B332" s="454" t="s">
        <v>1523</v>
      </c>
      <c r="C332" s="469">
        <f>('[4]Bieu 57'!D332)/1000000</f>
        <v>8239.4670000000006</v>
      </c>
      <c r="D332" s="469">
        <f>('[4]Bieu 57'!I332)/1000000</f>
        <v>8239.4670000000006</v>
      </c>
      <c r="E332" s="467"/>
      <c r="F332" s="467"/>
      <c r="G332" s="467"/>
      <c r="H332" s="467"/>
      <c r="I332" s="467"/>
      <c r="J332" s="467"/>
      <c r="K332" s="467"/>
      <c r="L332" s="467"/>
      <c r="M332" s="467"/>
      <c r="N332" s="467"/>
      <c r="O332" s="467"/>
      <c r="P332" s="467"/>
      <c r="Q332" s="345">
        <f t="shared" si="46"/>
        <v>8239.4670000000006</v>
      </c>
      <c r="R332" s="467"/>
      <c r="S332" s="467"/>
      <c r="T332" s="467"/>
    </row>
    <row r="333" spans="1:20">
      <c r="A333" s="428">
        <v>19</v>
      </c>
      <c r="B333" s="454" t="s">
        <v>1524</v>
      </c>
      <c r="C333" s="469">
        <f>('[4]Bieu 57'!D333)/1000000</f>
        <v>15131.199000000001</v>
      </c>
      <c r="D333" s="469">
        <f>('[4]Bieu 57'!I333)/1000000</f>
        <v>15126.199000000001</v>
      </c>
      <c r="E333" s="467"/>
      <c r="F333" s="467"/>
      <c r="G333" s="467"/>
      <c r="H333" s="467"/>
      <c r="I333" s="467"/>
      <c r="J333" s="467"/>
      <c r="K333" s="467"/>
      <c r="L333" s="467"/>
      <c r="M333" s="467"/>
      <c r="N333" s="467"/>
      <c r="O333" s="467"/>
      <c r="P333" s="467"/>
      <c r="Q333" s="345">
        <f t="shared" si="46"/>
        <v>15126.199000000001</v>
      </c>
      <c r="R333" s="467"/>
      <c r="S333" s="467"/>
      <c r="T333" s="467"/>
    </row>
    <row r="334" spans="1:20">
      <c r="A334" s="428">
        <v>20</v>
      </c>
      <c r="B334" s="454" t="s">
        <v>1525</v>
      </c>
      <c r="C334" s="469">
        <f>('[4]Bieu 57'!D334)/1000000</f>
        <v>200</v>
      </c>
      <c r="D334" s="469">
        <f>('[4]Bieu 57'!I334)/1000000</f>
        <v>200</v>
      </c>
      <c r="E334" s="467"/>
      <c r="F334" s="467"/>
      <c r="G334" s="467"/>
      <c r="H334" s="467"/>
      <c r="I334" s="467"/>
      <c r="J334" s="467"/>
      <c r="K334" s="467"/>
      <c r="L334" s="467"/>
      <c r="M334" s="467"/>
      <c r="N334" s="467"/>
      <c r="O334" s="467"/>
      <c r="P334" s="467"/>
      <c r="Q334" s="345">
        <f t="shared" si="46"/>
        <v>200</v>
      </c>
      <c r="R334" s="467"/>
      <c r="S334" s="467"/>
      <c r="T334" s="467"/>
    </row>
    <row r="335" spans="1:20">
      <c r="A335" s="428">
        <v>21</v>
      </c>
      <c r="B335" s="454" t="s">
        <v>1526</v>
      </c>
      <c r="C335" s="469">
        <f>('[4]Bieu 57'!D335)/1000000</f>
        <v>22466.962</v>
      </c>
      <c r="D335" s="469">
        <f>('[4]Bieu 57'!I335)/1000000</f>
        <v>21158.962</v>
      </c>
      <c r="E335" s="467"/>
      <c r="F335" s="467"/>
      <c r="G335" s="467"/>
      <c r="H335" s="467"/>
      <c r="I335" s="467"/>
      <c r="J335" s="467"/>
      <c r="K335" s="467"/>
      <c r="L335" s="467"/>
      <c r="M335" s="467"/>
      <c r="N335" s="467"/>
      <c r="O335" s="467"/>
      <c r="P335" s="467"/>
      <c r="Q335" s="345">
        <f t="shared" si="46"/>
        <v>21158.962</v>
      </c>
      <c r="R335" s="467"/>
      <c r="S335" s="467"/>
      <c r="T335" s="467"/>
    </row>
    <row r="336" spans="1:20">
      <c r="A336" s="428">
        <v>22</v>
      </c>
      <c r="B336" s="454" t="s">
        <v>1527</v>
      </c>
      <c r="C336" s="469">
        <f>('[4]Bieu 57'!D336)/1000000</f>
        <v>20623.357</v>
      </c>
      <c r="D336" s="469">
        <f>('[4]Bieu 57'!I336)/1000000</f>
        <v>20623.357</v>
      </c>
      <c r="E336" s="467"/>
      <c r="F336" s="467"/>
      <c r="G336" s="467"/>
      <c r="H336" s="467"/>
      <c r="I336" s="467"/>
      <c r="J336" s="467"/>
      <c r="K336" s="467"/>
      <c r="L336" s="467"/>
      <c r="M336" s="467"/>
      <c r="N336" s="467"/>
      <c r="O336" s="467"/>
      <c r="P336" s="467"/>
      <c r="Q336" s="345">
        <f t="shared" si="46"/>
        <v>20623.357</v>
      </c>
      <c r="R336" s="467"/>
      <c r="S336" s="467"/>
      <c r="T336" s="467"/>
    </row>
    <row r="337" spans="1:20">
      <c r="A337" s="428">
        <v>23</v>
      </c>
      <c r="B337" s="454" t="s">
        <v>1528</v>
      </c>
      <c r="C337" s="469">
        <f>('[4]Bieu 57'!D337)/1000000</f>
        <v>4139.8860000000004</v>
      </c>
      <c r="D337" s="469">
        <f>('[4]Bieu 57'!I337)/1000000</f>
        <v>4139.8860000000004</v>
      </c>
      <c r="E337" s="467"/>
      <c r="F337" s="467"/>
      <c r="G337" s="467"/>
      <c r="H337" s="467"/>
      <c r="I337" s="467"/>
      <c r="J337" s="467"/>
      <c r="K337" s="467"/>
      <c r="L337" s="467"/>
      <c r="M337" s="467"/>
      <c r="N337" s="467"/>
      <c r="O337" s="467"/>
      <c r="P337" s="467"/>
      <c r="Q337" s="345">
        <f t="shared" si="46"/>
        <v>4139.8860000000004</v>
      </c>
      <c r="R337" s="467"/>
      <c r="S337" s="467"/>
      <c r="T337" s="467"/>
    </row>
    <row r="338" spans="1:20">
      <c r="A338" s="428">
        <v>24</v>
      </c>
      <c r="B338" s="454" t="s">
        <v>1529</v>
      </c>
      <c r="C338" s="469">
        <f>('[4]Bieu 57'!D338)/1000000</f>
        <v>9665.2620000000006</v>
      </c>
      <c r="D338" s="469">
        <f>('[4]Bieu 57'!I338)/1000000</f>
        <v>9665.2620000000006</v>
      </c>
      <c r="E338" s="467"/>
      <c r="F338" s="467"/>
      <c r="G338" s="467"/>
      <c r="H338" s="467"/>
      <c r="I338" s="467"/>
      <c r="J338" s="467"/>
      <c r="K338" s="467"/>
      <c r="L338" s="467"/>
      <c r="M338" s="467"/>
      <c r="N338" s="467"/>
      <c r="O338" s="467"/>
      <c r="P338" s="467"/>
      <c r="Q338" s="345">
        <f t="shared" si="46"/>
        <v>9665.2620000000006</v>
      </c>
      <c r="R338" s="467"/>
      <c r="S338" s="467"/>
      <c r="T338" s="467"/>
    </row>
    <row r="339" spans="1:20">
      <c r="A339" s="428">
        <v>25</v>
      </c>
      <c r="B339" s="454" t="s">
        <v>1530</v>
      </c>
      <c r="C339" s="469">
        <f>('[4]Bieu 57'!D339)/1000000</f>
        <v>5882.0720000000001</v>
      </c>
      <c r="D339" s="469">
        <f>('[4]Bieu 57'!I339)/1000000</f>
        <v>5882.0720000000001</v>
      </c>
      <c r="E339" s="467"/>
      <c r="F339" s="467"/>
      <c r="G339" s="467"/>
      <c r="H339" s="467"/>
      <c r="I339" s="467"/>
      <c r="J339" s="467"/>
      <c r="K339" s="467"/>
      <c r="L339" s="467"/>
      <c r="M339" s="467"/>
      <c r="N339" s="467"/>
      <c r="O339" s="467"/>
      <c r="P339" s="467"/>
      <c r="Q339" s="345">
        <f t="shared" si="46"/>
        <v>5882.0720000000001</v>
      </c>
      <c r="R339" s="467"/>
      <c r="S339" s="467"/>
      <c r="T339" s="467"/>
    </row>
    <row r="340" spans="1:20">
      <c r="A340" s="428">
        <v>26</v>
      </c>
      <c r="B340" s="454" t="s">
        <v>1242</v>
      </c>
      <c r="C340" s="469">
        <f>('[4]Bieu 57'!D340)/1000000</f>
        <v>2102.0010000000002</v>
      </c>
      <c r="D340" s="469">
        <f>('[4]Bieu 57'!I340)/1000000</f>
        <v>2102.0010000000002</v>
      </c>
      <c r="E340" s="467"/>
      <c r="F340" s="467"/>
      <c r="G340" s="467"/>
      <c r="H340" s="467"/>
      <c r="I340" s="467"/>
      <c r="J340" s="467"/>
      <c r="K340" s="467"/>
      <c r="L340" s="467"/>
      <c r="M340" s="467"/>
      <c r="N340" s="467"/>
      <c r="O340" s="467"/>
      <c r="P340" s="467"/>
      <c r="Q340" s="345">
        <f t="shared" si="46"/>
        <v>2102.0010000000002</v>
      </c>
      <c r="R340" s="467"/>
      <c r="S340" s="467"/>
      <c r="T340" s="467"/>
    </row>
    <row r="341" spans="1:20">
      <c r="A341" s="428">
        <v>27</v>
      </c>
      <c r="B341" s="454" t="s">
        <v>1531</v>
      </c>
      <c r="C341" s="469">
        <f>('[4]Bieu 57'!D341)/1000000</f>
        <v>1848.723</v>
      </c>
      <c r="D341" s="469">
        <f>('[4]Bieu 57'!I341)/1000000</f>
        <v>1848.723</v>
      </c>
      <c r="E341" s="467"/>
      <c r="F341" s="467"/>
      <c r="G341" s="467"/>
      <c r="H341" s="467"/>
      <c r="I341" s="467"/>
      <c r="J341" s="467"/>
      <c r="K341" s="467"/>
      <c r="L341" s="467"/>
      <c r="M341" s="467"/>
      <c r="N341" s="467"/>
      <c r="O341" s="467"/>
      <c r="P341" s="467"/>
      <c r="Q341" s="345">
        <f t="shared" si="46"/>
        <v>1848.723</v>
      </c>
      <c r="R341" s="467"/>
      <c r="S341" s="467"/>
      <c r="T341" s="467"/>
    </row>
    <row r="342" spans="1:20">
      <c r="A342" s="428">
        <v>28</v>
      </c>
      <c r="B342" s="454" t="s">
        <v>1532</v>
      </c>
      <c r="C342" s="469">
        <f>('[4]Bieu 57'!D342)/1000000</f>
        <v>5369.8869999999997</v>
      </c>
      <c r="D342" s="469">
        <f>('[4]Bieu 57'!I342)/1000000</f>
        <v>5363.6729999999998</v>
      </c>
      <c r="E342" s="467"/>
      <c r="F342" s="467"/>
      <c r="G342" s="467"/>
      <c r="H342" s="467"/>
      <c r="I342" s="467"/>
      <c r="J342" s="467"/>
      <c r="K342" s="467"/>
      <c r="L342" s="467"/>
      <c r="M342" s="467"/>
      <c r="N342" s="467"/>
      <c r="O342" s="467"/>
      <c r="P342" s="467"/>
      <c r="Q342" s="345">
        <f t="shared" si="46"/>
        <v>5363.6729999999998</v>
      </c>
      <c r="R342" s="467"/>
      <c r="S342" s="467"/>
      <c r="T342" s="467"/>
    </row>
    <row r="343" spans="1:20">
      <c r="A343" s="428">
        <v>29</v>
      </c>
      <c r="B343" s="454" t="s">
        <v>1533</v>
      </c>
      <c r="C343" s="469">
        <f>('[4]Bieu 57'!D343)/1000000</f>
        <v>1888.201</v>
      </c>
      <c r="D343" s="469">
        <f>('[4]Bieu 57'!I343)/1000000</f>
        <v>1888.201</v>
      </c>
      <c r="E343" s="467"/>
      <c r="F343" s="467"/>
      <c r="G343" s="467"/>
      <c r="H343" s="467"/>
      <c r="I343" s="467"/>
      <c r="J343" s="467"/>
      <c r="K343" s="467"/>
      <c r="L343" s="467"/>
      <c r="M343" s="467"/>
      <c r="N343" s="467"/>
      <c r="O343" s="467"/>
      <c r="P343" s="467"/>
      <c r="Q343" s="345">
        <f t="shared" si="46"/>
        <v>1888.201</v>
      </c>
      <c r="R343" s="467"/>
      <c r="S343" s="467"/>
      <c r="T343" s="467"/>
    </row>
    <row r="344" spans="1:20">
      <c r="A344" s="428">
        <v>30</v>
      </c>
      <c r="B344" s="454" t="s">
        <v>1534</v>
      </c>
      <c r="C344" s="469">
        <f>('[4]Bieu 57'!D344)/1000000</f>
        <v>1664.761</v>
      </c>
      <c r="D344" s="469">
        <f>('[4]Bieu 57'!I344)/1000000</f>
        <v>1664.761</v>
      </c>
      <c r="E344" s="467"/>
      <c r="F344" s="467"/>
      <c r="G344" s="467"/>
      <c r="H344" s="467"/>
      <c r="I344" s="467"/>
      <c r="J344" s="467"/>
      <c r="K344" s="467"/>
      <c r="L344" s="467"/>
      <c r="M344" s="467"/>
      <c r="N344" s="467"/>
      <c r="O344" s="467"/>
      <c r="P344" s="467"/>
      <c r="Q344" s="345">
        <f t="shared" si="46"/>
        <v>1664.761</v>
      </c>
      <c r="R344" s="467"/>
      <c r="S344" s="467"/>
      <c r="T344" s="467"/>
    </row>
    <row r="345" spans="1:20">
      <c r="A345" s="428">
        <v>31</v>
      </c>
      <c r="B345" s="454" t="s">
        <v>1535</v>
      </c>
      <c r="C345" s="469">
        <f>('[4]Bieu 57'!D345)/1000000</f>
        <v>1067.211</v>
      </c>
      <c r="D345" s="469">
        <f>('[4]Bieu 57'!I345)/1000000</f>
        <v>1063.578</v>
      </c>
      <c r="E345" s="467"/>
      <c r="F345" s="467"/>
      <c r="G345" s="467"/>
      <c r="H345" s="467"/>
      <c r="I345" s="467"/>
      <c r="J345" s="467"/>
      <c r="K345" s="467"/>
      <c r="L345" s="467"/>
      <c r="M345" s="467"/>
      <c r="N345" s="467"/>
      <c r="O345" s="467"/>
      <c r="P345" s="467"/>
      <c r="Q345" s="345">
        <f t="shared" si="46"/>
        <v>1063.578</v>
      </c>
      <c r="R345" s="467"/>
      <c r="S345" s="467"/>
      <c r="T345" s="467"/>
    </row>
    <row r="346" spans="1:20">
      <c r="A346" s="428">
        <v>32</v>
      </c>
      <c r="B346" s="454" t="s">
        <v>1536</v>
      </c>
      <c r="C346" s="469">
        <f>('[4]Bieu 57'!D346)/1000000</f>
        <v>25540.209728999998</v>
      </c>
      <c r="D346" s="469">
        <f>('[4]Bieu 57'!I346)/1000000</f>
        <v>25540.209728999998</v>
      </c>
      <c r="E346" s="467"/>
      <c r="F346" s="467"/>
      <c r="G346" s="467"/>
      <c r="H346" s="467"/>
      <c r="I346" s="467"/>
      <c r="J346" s="467"/>
      <c r="K346" s="467"/>
      <c r="L346" s="467"/>
      <c r="M346" s="467"/>
      <c r="N346" s="467"/>
      <c r="O346" s="467"/>
      <c r="P346" s="467"/>
      <c r="Q346" s="345">
        <f t="shared" si="46"/>
        <v>25540.209728999998</v>
      </c>
      <c r="R346" s="467"/>
      <c r="S346" s="467"/>
      <c r="T346" s="467"/>
    </row>
    <row r="347" spans="1:20">
      <c r="A347" s="455"/>
      <c r="B347" s="456" t="s">
        <v>1537</v>
      </c>
      <c r="C347" s="469">
        <f>('[4]Bieu 57'!D347)/1000000</f>
        <v>8839.8830180000004</v>
      </c>
      <c r="D347" s="469">
        <f>('[4]Bieu 57'!I347)/1000000</f>
        <v>8839.8830180000004</v>
      </c>
      <c r="E347" s="467"/>
      <c r="F347" s="467"/>
      <c r="G347" s="467"/>
      <c r="H347" s="467"/>
      <c r="I347" s="467"/>
      <c r="J347" s="467"/>
      <c r="K347" s="467"/>
      <c r="L347" s="467"/>
      <c r="M347" s="467"/>
      <c r="N347" s="467"/>
      <c r="O347" s="467"/>
      <c r="P347" s="467"/>
      <c r="Q347" s="345">
        <f t="shared" si="46"/>
        <v>8839.8830180000004</v>
      </c>
      <c r="R347" s="467"/>
      <c r="S347" s="467"/>
      <c r="T347" s="467"/>
    </row>
    <row r="348" spans="1:20">
      <c r="A348" s="455"/>
      <c r="B348" s="456" t="s">
        <v>1538</v>
      </c>
      <c r="C348" s="469">
        <f>('[4]Bieu 57'!D348)/1000000</f>
        <v>3133.8917110000002</v>
      </c>
      <c r="D348" s="469">
        <f>('[4]Bieu 57'!I348)/1000000</f>
        <v>3133.8917110000002</v>
      </c>
      <c r="E348" s="467"/>
      <c r="F348" s="467"/>
      <c r="G348" s="467"/>
      <c r="H348" s="467"/>
      <c r="I348" s="467"/>
      <c r="J348" s="467"/>
      <c r="K348" s="467"/>
      <c r="L348" s="467"/>
      <c r="M348" s="467"/>
      <c r="N348" s="467"/>
      <c r="O348" s="467"/>
      <c r="P348" s="467"/>
      <c r="Q348" s="345">
        <f t="shared" si="46"/>
        <v>3133.8917110000002</v>
      </c>
      <c r="R348" s="467"/>
      <c r="S348" s="467"/>
      <c r="T348" s="467"/>
    </row>
    <row r="349" spans="1:20">
      <c r="A349" s="455"/>
      <c r="B349" s="456" t="s">
        <v>1539</v>
      </c>
      <c r="C349" s="469">
        <f>('[4]Bieu 57'!D349)/1000000</f>
        <v>2903.4850000000001</v>
      </c>
      <c r="D349" s="469">
        <f>('[4]Bieu 57'!I349)/1000000</f>
        <v>2903.4850000000001</v>
      </c>
      <c r="E349" s="467"/>
      <c r="F349" s="467"/>
      <c r="G349" s="467"/>
      <c r="H349" s="467"/>
      <c r="I349" s="467"/>
      <c r="J349" s="467"/>
      <c r="K349" s="467"/>
      <c r="L349" s="467"/>
      <c r="M349" s="467"/>
      <c r="N349" s="467"/>
      <c r="O349" s="467"/>
      <c r="P349" s="467"/>
      <c r="Q349" s="345">
        <f t="shared" si="46"/>
        <v>2903.4850000000001</v>
      </c>
      <c r="R349" s="467"/>
      <c r="S349" s="467"/>
      <c r="T349" s="467"/>
    </row>
    <row r="350" spans="1:20">
      <c r="A350" s="455"/>
      <c r="B350" s="456" t="s">
        <v>1540</v>
      </c>
      <c r="C350" s="469">
        <f>('[4]Bieu 57'!D350)/1000000</f>
        <v>1445.7829999999999</v>
      </c>
      <c r="D350" s="469">
        <f>('[4]Bieu 57'!I350)/1000000</f>
        <v>1445.7829999999999</v>
      </c>
      <c r="E350" s="467"/>
      <c r="F350" s="467"/>
      <c r="G350" s="467"/>
      <c r="H350" s="467"/>
      <c r="I350" s="467"/>
      <c r="J350" s="467"/>
      <c r="K350" s="467"/>
      <c r="L350" s="467"/>
      <c r="M350" s="467"/>
      <c r="N350" s="467"/>
      <c r="O350" s="467"/>
      <c r="P350" s="467"/>
      <c r="Q350" s="345">
        <f t="shared" si="46"/>
        <v>1445.7829999999999</v>
      </c>
      <c r="R350" s="467"/>
      <c r="S350" s="467"/>
      <c r="T350" s="467"/>
    </row>
    <row r="351" spans="1:20">
      <c r="A351" s="455"/>
      <c r="B351" s="456" t="s">
        <v>1541</v>
      </c>
      <c r="C351" s="469">
        <f>('[4]Bieu 57'!D351)/1000000</f>
        <v>1918.194</v>
      </c>
      <c r="D351" s="469">
        <f>('[4]Bieu 57'!I351)/1000000</f>
        <v>1918.194</v>
      </c>
      <c r="E351" s="467"/>
      <c r="F351" s="467"/>
      <c r="G351" s="467"/>
      <c r="H351" s="467"/>
      <c r="I351" s="467"/>
      <c r="J351" s="467"/>
      <c r="K351" s="467"/>
      <c r="L351" s="467"/>
      <c r="M351" s="467"/>
      <c r="N351" s="467"/>
      <c r="O351" s="467"/>
      <c r="P351" s="467"/>
      <c r="Q351" s="345">
        <f t="shared" si="46"/>
        <v>1918.194</v>
      </c>
      <c r="R351" s="467"/>
      <c r="S351" s="467"/>
      <c r="T351" s="467"/>
    </row>
    <row r="352" spans="1:20">
      <c r="A352" s="455"/>
      <c r="B352" s="456" t="s">
        <v>1542</v>
      </c>
      <c r="C352" s="469">
        <f>('[4]Bieu 57'!D352)/1000000</f>
        <v>1396.5930000000001</v>
      </c>
      <c r="D352" s="469">
        <f>('[4]Bieu 57'!I352)/1000000</f>
        <v>1396.5930000000001</v>
      </c>
      <c r="E352" s="467"/>
      <c r="F352" s="467"/>
      <c r="G352" s="467"/>
      <c r="H352" s="467"/>
      <c r="I352" s="467"/>
      <c r="J352" s="467"/>
      <c r="K352" s="467"/>
      <c r="L352" s="467"/>
      <c r="M352" s="467"/>
      <c r="N352" s="467"/>
      <c r="O352" s="467"/>
      <c r="P352" s="467"/>
      <c r="Q352" s="345">
        <f t="shared" si="46"/>
        <v>1396.5930000000001</v>
      </c>
      <c r="R352" s="467"/>
      <c r="S352" s="467"/>
      <c r="T352" s="467"/>
    </row>
    <row r="353" spans="1:20">
      <c r="A353" s="455"/>
      <c r="B353" s="456" t="s">
        <v>1543</v>
      </c>
      <c r="C353" s="469">
        <f>('[4]Bieu 57'!D353)/1000000</f>
        <v>1591.7639999999999</v>
      </c>
      <c r="D353" s="469">
        <f>('[4]Bieu 57'!I353)/1000000</f>
        <v>1591.7639999999999</v>
      </c>
      <c r="E353" s="467"/>
      <c r="F353" s="467"/>
      <c r="G353" s="467"/>
      <c r="H353" s="467"/>
      <c r="I353" s="467"/>
      <c r="J353" s="467"/>
      <c r="K353" s="467"/>
      <c r="L353" s="467"/>
      <c r="M353" s="467"/>
      <c r="N353" s="467"/>
      <c r="O353" s="467"/>
      <c r="P353" s="467"/>
      <c r="Q353" s="345">
        <f t="shared" si="46"/>
        <v>1591.7639999999999</v>
      </c>
      <c r="R353" s="467"/>
      <c r="S353" s="467"/>
      <c r="T353" s="467"/>
    </row>
    <row r="354" spans="1:20">
      <c r="A354" s="455"/>
      <c r="B354" s="456" t="s">
        <v>1544</v>
      </c>
      <c r="C354" s="469">
        <f>('[4]Bieu 57'!D354)/1000000</f>
        <v>1677.454</v>
      </c>
      <c r="D354" s="469">
        <f>('[4]Bieu 57'!I354)/1000000</f>
        <v>1677.454</v>
      </c>
      <c r="E354" s="467"/>
      <c r="F354" s="467"/>
      <c r="G354" s="467"/>
      <c r="H354" s="467"/>
      <c r="I354" s="467"/>
      <c r="J354" s="467"/>
      <c r="K354" s="467"/>
      <c r="L354" s="467"/>
      <c r="M354" s="467"/>
      <c r="N354" s="467"/>
      <c r="O354" s="467"/>
      <c r="P354" s="467"/>
      <c r="Q354" s="345">
        <f t="shared" si="46"/>
        <v>1677.454</v>
      </c>
      <c r="R354" s="467"/>
      <c r="S354" s="467"/>
      <c r="T354" s="467"/>
    </row>
    <row r="355" spans="1:20">
      <c r="A355" s="455"/>
      <c r="B355" s="456" t="s">
        <v>1545</v>
      </c>
      <c r="C355" s="469">
        <f>('[4]Bieu 57'!D355)/1000000</f>
        <v>2633.1619999999998</v>
      </c>
      <c r="D355" s="469">
        <f>('[4]Bieu 57'!I355)/1000000</f>
        <v>2633.1619999999998</v>
      </c>
      <c r="E355" s="467"/>
      <c r="F355" s="467"/>
      <c r="G355" s="467"/>
      <c r="H355" s="467"/>
      <c r="I355" s="467"/>
      <c r="J355" s="467"/>
      <c r="K355" s="467"/>
      <c r="L355" s="467"/>
      <c r="M355" s="467"/>
      <c r="N355" s="467"/>
      <c r="O355" s="467"/>
      <c r="P355" s="467"/>
      <c r="Q355" s="345">
        <f t="shared" si="46"/>
        <v>2633.1619999999998</v>
      </c>
      <c r="R355" s="467"/>
      <c r="S355" s="467"/>
      <c r="T355" s="467"/>
    </row>
    <row r="356" spans="1:20">
      <c r="A356" s="428">
        <v>33</v>
      </c>
      <c r="B356" s="454" t="s">
        <v>1546</v>
      </c>
      <c r="C356" s="469">
        <f>('[4]Bieu 57'!D356)/1000000</f>
        <v>1697.181</v>
      </c>
      <c r="D356" s="469">
        <f>('[4]Bieu 57'!I356)/1000000</f>
        <v>1697.181</v>
      </c>
      <c r="E356" s="467"/>
      <c r="F356" s="467"/>
      <c r="G356" s="467"/>
      <c r="H356" s="467"/>
      <c r="I356" s="467"/>
      <c r="J356" s="467"/>
      <c r="K356" s="467"/>
      <c r="L356" s="467"/>
      <c r="M356" s="467"/>
      <c r="N356" s="467"/>
      <c r="O356" s="467"/>
      <c r="P356" s="467"/>
      <c r="Q356" s="345">
        <f t="shared" si="46"/>
        <v>1697.181</v>
      </c>
      <c r="R356" s="467"/>
      <c r="S356" s="467"/>
      <c r="T356" s="467"/>
    </row>
    <row r="357" spans="1:20">
      <c r="A357" s="457">
        <v>34</v>
      </c>
      <c r="B357" s="424" t="s">
        <v>1547</v>
      </c>
      <c r="C357" s="469">
        <f>('[4]Bieu 57'!D357)/1000000</f>
        <v>1623</v>
      </c>
      <c r="D357" s="469">
        <f>('[4]Bieu 57'!I357)/1000000</f>
        <v>1623</v>
      </c>
      <c r="E357" s="467"/>
      <c r="F357" s="467"/>
      <c r="G357" s="467"/>
      <c r="H357" s="467"/>
      <c r="I357" s="467"/>
      <c r="J357" s="467"/>
      <c r="K357" s="467"/>
      <c r="L357" s="467"/>
      <c r="M357" s="467"/>
      <c r="N357" s="467"/>
      <c r="O357" s="467"/>
      <c r="P357" s="467"/>
      <c r="Q357" s="345">
        <f t="shared" si="46"/>
        <v>1623</v>
      </c>
      <c r="R357" s="467"/>
      <c r="S357" s="467"/>
      <c r="T357" s="467"/>
    </row>
    <row r="358" spans="1:20">
      <c r="A358" s="428">
        <v>35</v>
      </c>
      <c r="B358" s="454" t="s">
        <v>1548</v>
      </c>
      <c r="C358" s="469">
        <f>('[4]Bieu 57'!D358)/1000000</f>
        <v>1348.873</v>
      </c>
      <c r="D358" s="469">
        <f>('[4]Bieu 57'!I358)/1000000</f>
        <v>1348.873</v>
      </c>
      <c r="E358" s="467"/>
      <c r="F358" s="467"/>
      <c r="G358" s="467"/>
      <c r="H358" s="467"/>
      <c r="I358" s="467"/>
      <c r="J358" s="467"/>
      <c r="K358" s="467"/>
      <c r="L358" s="467"/>
      <c r="M358" s="467"/>
      <c r="N358" s="467"/>
      <c r="O358" s="467"/>
      <c r="P358" s="467"/>
      <c r="Q358" s="345">
        <f t="shared" si="46"/>
        <v>1348.873</v>
      </c>
      <c r="R358" s="467"/>
      <c r="S358" s="467"/>
      <c r="T358" s="467"/>
    </row>
    <row r="359" spans="1:20">
      <c r="A359" s="428">
        <v>36</v>
      </c>
      <c r="B359" s="454" t="s">
        <v>1549</v>
      </c>
      <c r="C359" s="469">
        <f>('[4]Bieu 57'!D359)/1000000</f>
        <v>854.52549999999997</v>
      </c>
      <c r="D359" s="469">
        <f>('[4]Bieu 57'!I359)/1000000</f>
        <v>853.34799999999996</v>
      </c>
      <c r="E359" s="467"/>
      <c r="F359" s="467"/>
      <c r="G359" s="467"/>
      <c r="H359" s="467"/>
      <c r="I359" s="467"/>
      <c r="J359" s="467"/>
      <c r="K359" s="467"/>
      <c r="L359" s="467"/>
      <c r="M359" s="467"/>
      <c r="N359" s="467"/>
      <c r="O359" s="467"/>
      <c r="P359" s="467"/>
      <c r="Q359" s="470">
        <f t="shared" si="46"/>
        <v>853.34799999999996</v>
      </c>
      <c r="R359" s="467"/>
      <c r="S359" s="467"/>
      <c r="T359" s="467"/>
    </row>
    <row r="360" spans="1:20" s="421" customFormat="1">
      <c r="A360" s="431" t="s">
        <v>192</v>
      </c>
      <c r="B360" s="458" t="s">
        <v>1550</v>
      </c>
      <c r="C360" s="468">
        <f>SUM(C361:C369)</f>
        <v>110392.79285500001</v>
      </c>
      <c r="D360" s="468">
        <f>SUM(D361:D369)</f>
        <v>109239.36820700002</v>
      </c>
      <c r="E360" s="468">
        <f t="shared" ref="E360:T360" si="47">SUM(E361:E369)</f>
        <v>0</v>
      </c>
      <c r="F360" s="468">
        <f t="shared" si="47"/>
        <v>0</v>
      </c>
      <c r="G360" s="468">
        <f t="shared" si="47"/>
        <v>0</v>
      </c>
      <c r="H360" s="468">
        <f t="shared" si="47"/>
        <v>0</v>
      </c>
      <c r="I360" s="468">
        <f t="shared" si="47"/>
        <v>0</v>
      </c>
      <c r="J360" s="468">
        <f t="shared" si="47"/>
        <v>0</v>
      </c>
      <c r="K360" s="468">
        <f t="shared" si="47"/>
        <v>0</v>
      </c>
      <c r="L360" s="468">
        <f t="shared" si="47"/>
        <v>0</v>
      </c>
      <c r="M360" s="468">
        <f t="shared" si="47"/>
        <v>0</v>
      </c>
      <c r="N360" s="468">
        <f t="shared" si="47"/>
        <v>0</v>
      </c>
      <c r="O360" s="468">
        <f t="shared" si="47"/>
        <v>0</v>
      </c>
      <c r="P360" s="468">
        <f t="shared" si="47"/>
        <v>0</v>
      </c>
      <c r="Q360" s="468">
        <f t="shared" si="47"/>
        <v>109239.36820700002</v>
      </c>
      <c r="R360" s="468">
        <f t="shared" si="47"/>
        <v>0</v>
      </c>
      <c r="S360" s="468">
        <f t="shared" si="47"/>
        <v>0</v>
      </c>
      <c r="T360" s="468">
        <f t="shared" si="47"/>
        <v>0</v>
      </c>
    </row>
    <row r="361" spans="1:20">
      <c r="A361" s="457">
        <v>1</v>
      </c>
      <c r="B361" s="424" t="s">
        <v>1402</v>
      </c>
      <c r="C361" s="469">
        <f>('[4]Bieu 57'!D361)/1000000</f>
        <v>82902.073854999995</v>
      </c>
      <c r="D361" s="469">
        <f>('[4]Bieu 57'!I361)/1000000</f>
        <v>81902.073854999995</v>
      </c>
      <c r="E361" s="467"/>
      <c r="F361" s="467"/>
      <c r="G361" s="467"/>
      <c r="H361" s="467"/>
      <c r="I361" s="467"/>
      <c r="J361" s="467"/>
      <c r="K361" s="467"/>
      <c r="L361" s="467"/>
      <c r="M361" s="467"/>
      <c r="N361" s="467"/>
      <c r="O361" s="467"/>
      <c r="P361" s="467"/>
      <c r="Q361" s="345">
        <f t="shared" si="46"/>
        <v>81902.073854999995</v>
      </c>
      <c r="R361" s="467"/>
      <c r="S361" s="467"/>
      <c r="T361" s="467"/>
    </row>
    <row r="362" spans="1:20">
      <c r="A362" s="428">
        <v>2</v>
      </c>
      <c r="B362" s="454" t="s">
        <v>1362</v>
      </c>
      <c r="C362" s="469">
        <f>('[4]Bieu 57'!D362)/1000000</f>
        <v>3449</v>
      </c>
      <c r="D362" s="469">
        <f>('[4]Bieu 57'!I362)/1000000</f>
        <v>3449</v>
      </c>
      <c r="E362" s="467"/>
      <c r="F362" s="467"/>
      <c r="G362" s="467"/>
      <c r="H362" s="467"/>
      <c r="I362" s="467"/>
      <c r="J362" s="467"/>
      <c r="K362" s="467"/>
      <c r="L362" s="467"/>
      <c r="M362" s="467"/>
      <c r="N362" s="467"/>
      <c r="O362" s="467"/>
      <c r="P362" s="467"/>
      <c r="Q362" s="345">
        <f t="shared" si="46"/>
        <v>3449</v>
      </c>
      <c r="R362" s="467"/>
      <c r="S362" s="467"/>
      <c r="T362" s="467"/>
    </row>
    <row r="363" spans="1:20">
      <c r="A363" s="428">
        <v>3</v>
      </c>
      <c r="B363" s="454" t="s">
        <v>1551</v>
      </c>
      <c r="C363" s="469">
        <f>('[4]Bieu 57'!D363)/1000000</f>
        <v>7662.8490000000002</v>
      </c>
      <c r="D363" s="469">
        <f>('[4]Bieu 57'!I363)/1000000</f>
        <v>7662.8490000000002</v>
      </c>
      <c r="E363" s="467"/>
      <c r="F363" s="467"/>
      <c r="G363" s="467"/>
      <c r="H363" s="467"/>
      <c r="I363" s="467"/>
      <c r="J363" s="467"/>
      <c r="K363" s="467"/>
      <c r="L363" s="467"/>
      <c r="M363" s="467"/>
      <c r="N363" s="467"/>
      <c r="O363" s="467"/>
      <c r="P363" s="467"/>
      <c r="Q363" s="345">
        <f t="shared" si="46"/>
        <v>7662.8490000000002</v>
      </c>
      <c r="R363" s="467"/>
      <c r="S363" s="467"/>
      <c r="T363" s="467"/>
    </row>
    <row r="364" spans="1:20">
      <c r="A364" s="428">
        <v>4</v>
      </c>
      <c r="B364" s="454" t="s">
        <v>1552</v>
      </c>
      <c r="C364" s="469">
        <f>('[4]Bieu 57'!D364)/1000000</f>
        <v>4728.5680000000002</v>
      </c>
      <c r="D364" s="469">
        <f>('[4]Bieu 57'!I364)/1000000</f>
        <v>4728.5680000000002</v>
      </c>
      <c r="E364" s="467"/>
      <c r="F364" s="467"/>
      <c r="G364" s="467"/>
      <c r="H364" s="467"/>
      <c r="I364" s="467"/>
      <c r="J364" s="467"/>
      <c r="K364" s="467"/>
      <c r="L364" s="467"/>
      <c r="M364" s="467"/>
      <c r="N364" s="467"/>
      <c r="O364" s="467"/>
      <c r="P364" s="467"/>
      <c r="Q364" s="345">
        <f t="shared" si="46"/>
        <v>4728.5680000000002</v>
      </c>
      <c r="R364" s="467"/>
      <c r="S364" s="467"/>
      <c r="T364" s="467"/>
    </row>
    <row r="365" spans="1:20">
      <c r="A365" s="428">
        <v>5</v>
      </c>
      <c r="B365" s="454" t="s">
        <v>1553</v>
      </c>
      <c r="C365" s="469">
        <f>('[4]Bieu 57'!D365)/1000000</f>
        <v>4505.558</v>
      </c>
      <c r="D365" s="469">
        <f>('[4]Bieu 57'!I365)/1000000</f>
        <v>4443.3508430000002</v>
      </c>
      <c r="E365" s="467"/>
      <c r="F365" s="467"/>
      <c r="G365" s="467"/>
      <c r="H365" s="467"/>
      <c r="I365" s="467"/>
      <c r="J365" s="467"/>
      <c r="K365" s="467"/>
      <c r="L365" s="467"/>
      <c r="M365" s="467"/>
      <c r="N365" s="467"/>
      <c r="O365" s="467"/>
      <c r="P365" s="467"/>
      <c r="Q365" s="345">
        <f t="shared" si="46"/>
        <v>4443.3508430000002</v>
      </c>
      <c r="R365" s="467"/>
      <c r="S365" s="467"/>
      <c r="T365" s="467"/>
    </row>
    <row r="366" spans="1:20">
      <c r="A366" s="428">
        <v>6</v>
      </c>
      <c r="B366" s="454" t="s">
        <v>1554</v>
      </c>
      <c r="C366" s="469">
        <f>('[4]Bieu 57'!D366)/1000000</f>
        <v>3468.3409999999999</v>
      </c>
      <c r="D366" s="469">
        <f>('[4]Bieu 57'!I366)/1000000</f>
        <v>3468.3409999999999</v>
      </c>
      <c r="E366" s="467"/>
      <c r="F366" s="467"/>
      <c r="G366" s="467"/>
      <c r="H366" s="467"/>
      <c r="I366" s="467"/>
      <c r="J366" s="467"/>
      <c r="K366" s="467"/>
      <c r="L366" s="467"/>
      <c r="M366" s="467"/>
      <c r="N366" s="467"/>
      <c r="O366" s="467"/>
      <c r="P366" s="467"/>
      <c r="Q366" s="345">
        <f t="shared" si="46"/>
        <v>3468.3409999999999</v>
      </c>
      <c r="R366" s="467"/>
      <c r="S366" s="467"/>
      <c r="T366" s="467"/>
    </row>
    <row r="367" spans="1:20">
      <c r="A367" s="428">
        <v>7</v>
      </c>
      <c r="B367" s="454" t="s">
        <v>1555</v>
      </c>
      <c r="C367" s="469">
        <f>('[4]Bieu 57'!D367)/1000000</f>
        <v>2513.4029999999998</v>
      </c>
      <c r="D367" s="469">
        <f>('[4]Bieu 57'!I367)/1000000</f>
        <v>2513.4029999999998</v>
      </c>
      <c r="E367" s="467"/>
      <c r="F367" s="467"/>
      <c r="G367" s="467"/>
      <c r="H367" s="467"/>
      <c r="I367" s="467"/>
      <c r="J367" s="467"/>
      <c r="K367" s="467"/>
      <c r="L367" s="467"/>
      <c r="M367" s="467"/>
      <c r="N367" s="467"/>
      <c r="O367" s="467"/>
      <c r="P367" s="467"/>
      <c r="Q367" s="345">
        <f t="shared" si="46"/>
        <v>2513.4029999999998</v>
      </c>
      <c r="R367" s="467"/>
      <c r="S367" s="467"/>
      <c r="T367" s="467"/>
    </row>
    <row r="368" spans="1:20">
      <c r="A368" s="428">
        <v>8</v>
      </c>
      <c r="B368" s="454" t="s">
        <v>1556</v>
      </c>
      <c r="C368" s="469">
        <f>('[4]Bieu 57'!D368)/1000000</f>
        <v>675</v>
      </c>
      <c r="D368" s="469">
        <f>('[4]Bieu 57'!I368)/1000000</f>
        <v>658.32</v>
      </c>
      <c r="E368" s="467"/>
      <c r="F368" s="467"/>
      <c r="G368" s="467"/>
      <c r="H368" s="467"/>
      <c r="I368" s="467"/>
      <c r="J368" s="467"/>
      <c r="K368" s="467"/>
      <c r="L368" s="467"/>
      <c r="M368" s="467"/>
      <c r="N368" s="467"/>
      <c r="O368" s="467"/>
      <c r="P368" s="467"/>
      <c r="Q368" s="345">
        <f t="shared" si="46"/>
        <v>658.32</v>
      </c>
      <c r="R368" s="467"/>
      <c r="S368" s="467"/>
      <c r="T368" s="467"/>
    </row>
    <row r="369" spans="1:20">
      <c r="A369" s="428">
        <v>9</v>
      </c>
      <c r="B369" s="454" t="s">
        <v>1557</v>
      </c>
      <c r="C369" s="469">
        <f>('[4]Bieu 57'!D369)/1000000</f>
        <v>488</v>
      </c>
      <c r="D369" s="469">
        <f>('[4]Bieu 57'!I369)/1000000</f>
        <v>413.46250900000001</v>
      </c>
      <c r="E369" s="467"/>
      <c r="F369" s="467"/>
      <c r="G369" s="467"/>
      <c r="H369" s="467"/>
      <c r="I369" s="467"/>
      <c r="J369" s="467"/>
      <c r="K369" s="467"/>
      <c r="L369" s="467"/>
      <c r="M369" s="467"/>
      <c r="N369" s="467"/>
      <c r="O369" s="467"/>
      <c r="P369" s="467"/>
      <c r="Q369" s="345">
        <f t="shared" si="46"/>
        <v>413.46250900000001</v>
      </c>
      <c r="R369" s="467"/>
      <c r="S369" s="467"/>
      <c r="T369" s="467"/>
    </row>
    <row r="370" spans="1:20" s="421" customFormat="1">
      <c r="A370" s="434" t="s">
        <v>1383</v>
      </c>
      <c r="B370" s="459" t="s">
        <v>1558</v>
      </c>
      <c r="C370" s="468">
        <f>SUM(C371:C398)</f>
        <v>11409.504799999999</v>
      </c>
      <c r="D370" s="468">
        <f>SUM(D371:D398)</f>
        <v>11181.582192999998</v>
      </c>
      <c r="E370" s="468">
        <f t="shared" ref="E370:T370" si="48">SUM(E371:E398)</f>
        <v>0</v>
      </c>
      <c r="F370" s="468">
        <f t="shared" si="48"/>
        <v>0</v>
      </c>
      <c r="G370" s="468">
        <f t="shared" si="48"/>
        <v>0</v>
      </c>
      <c r="H370" s="468">
        <f t="shared" si="48"/>
        <v>0</v>
      </c>
      <c r="I370" s="468">
        <f t="shared" si="48"/>
        <v>0</v>
      </c>
      <c r="J370" s="468">
        <f t="shared" si="48"/>
        <v>0</v>
      </c>
      <c r="K370" s="468">
        <f t="shared" si="48"/>
        <v>0</v>
      </c>
      <c r="L370" s="468">
        <f t="shared" si="48"/>
        <v>0</v>
      </c>
      <c r="M370" s="468">
        <f t="shared" si="48"/>
        <v>0</v>
      </c>
      <c r="N370" s="468">
        <f t="shared" si="48"/>
        <v>0</v>
      </c>
      <c r="O370" s="468">
        <f t="shared" si="48"/>
        <v>0</v>
      </c>
      <c r="P370" s="468">
        <f t="shared" si="48"/>
        <v>0</v>
      </c>
      <c r="Q370" s="468">
        <f t="shared" si="48"/>
        <v>11181.582192999998</v>
      </c>
      <c r="R370" s="468">
        <f t="shared" si="48"/>
        <v>0</v>
      </c>
      <c r="S370" s="468">
        <f t="shared" si="48"/>
        <v>0</v>
      </c>
      <c r="T370" s="468">
        <f t="shared" si="48"/>
        <v>0</v>
      </c>
    </row>
    <row r="371" spans="1:20">
      <c r="A371" s="428">
        <v>1</v>
      </c>
      <c r="B371" s="454" t="s">
        <v>1559</v>
      </c>
      <c r="C371" s="469">
        <f>('[4]Bieu 57'!D371)/1000000</f>
        <v>819</v>
      </c>
      <c r="D371" s="469">
        <f>('[4]Bieu 57'!I371)/1000000</f>
        <v>819</v>
      </c>
      <c r="E371" s="467"/>
      <c r="F371" s="467"/>
      <c r="G371" s="467"/>
      <c r="H371" s="467"/>
      <c r="I371" s="467"/>
      <c r="J371" s="467"/>
      <c r="K371" s="467"/>
      <c r="L371" s="467"/>
      <c r="M371" s="467"/>
      <c r="N371" s="467"/>
      <c r="O371" s="467"/>
      <c r="P371" s="467"/>
      <c r="Q371" s="345">
        <f t="shared" si="46"/>
        <v>819</v>
      </c>
      <c r="R371" s="467"/>
      <c r="S371" s="467"/>
      <c r="T371" s="467"/>
    </row>
    <row r="372" spans="1:20">
      <c r="A372" s="428">
        <v>2</v>
      </c>
      <c r="B372" s="454" t="s">
        <v>1560</v>
      </c>
      <c r="C372" s="469">
        <f>('[4]Bieu 57'!D372)/1000000</f>
        <v>1712.4</v>
      </c>
      <c r="D372" s="469">
        <f>('[4]Bieu 57'!I372)/1000000</f>
        <v>1688.6043050000001</v>
      </c>
      <c r="E372" s="467"/>
      <c r="F372" s="467"/>
      <c r="G372" s="467"/>
      <c r="H372" s="467"/>
      <c r="I372" s="467"/>
      <c r="J372" s="467"/>
      <c r="K372" s="467"/>
      <c r="L372" s="467"/>
      <c r="M372" s="467"/>
      <c r="N372" s="467"/>
      <c r="O372" s="467"/>
      <c r="P372" s="467"/>
      <c r="Q372" s="345">
        <f t="shared" si="46"/>
        <v>1688.6043050000001</v>
      </c>
      <c r="R372" s="467"/>
      <c r="S372" s="467"/>
      <c r="T372" s="467"/>
    </row>
    <row r="373" spans="1:20">
      <c r="A373" s="428">
        <v>3</v>
      </c>
      <c r="B373" s="454" t="s">
        <v>1561</v>
      </c>
      <c r="C373" s="469">
        <f>('[4]Bieu 57'!D373)/1000000</f>
        <v>793.27200000000005</v>
      </c>
      <c r="D373" s="469">
        <f>('[4]Bieu 57'!I373)/1000000</f>
        <v>793.27200000000005</v>
      </c>
      <c r="E373" s="467"/>
      <c r="F373" s="467"/>
      <c r="G373" s="467"/>
      <c r="H373" s="467"/>
      <c r="I373" s="467"/>
      <c r="J373" s="467"/>
      <c r="K373" s="467"/>
      <c r="L373" s="467"/>
      <c r="M373" s="467"/>
      <c r="N373" s="467"/>
      <c r="O373" s="467"/>
      <c r="P373" s="467"/>
      <c r="Q373" s="345">
        <f t="shared" si="46"/>
        <v>793.27200000000005</v>
      </c>
      <c r="R373" s="467"/>
      <c r="S373" s="467"/>
      <c r="T373" s="467"/>
    </row>
    <row r="374" spans="1:20">
      <c r="A374" s="428">
        <v>4</v>
      </c>
      <c r="B374" s="454" t="s">
        <v>1562</v>
      </c>
      <c r="C374" s="469">
        <f>('[4]Bieu 57'!D374)/1000000</f>
        <v>2160.739</v>
      </c>
      <c r="D374" s="469">
        <f>('[4]Bieu 57'!I374)/1000000</f>
        <v>2160.739</v>
      </c>
      <c r="E374" s="467"/>
      <c r="F374" s="467"/>
      <c r="G374" s="467"/>
      <c r="H374" s="467"/>
      <c r="I374" s="467"/>
      <c r="J374" s="467"/>
      <c r="K374" s="467"/>
      <c r="L374" s="467"/>
      <c r="M374" s="467"/>
      <c r="N374" s="467"/>
      <c r="O374" s="467"/>
      <c r="P374" s="467"/>
      <c r="Q374" s="345">
        <f t="shared" si="46"/>
        <v>2160.739</v>
      </c>
      <c r="R374" s="467"/>
      <c r="S374" s="467"/>
      <c r="T374" s="467"/>
    </row>
    <row r="375" spans="1:20">
      <c r="A375" s="428">
        <v>5</v>
      </c>
      <c r="B375" s="454" t="s">
        <v>1563</v>
      </c>
      <c r="C375" s="469">
        <f>('[4]Bieu 57'!D375)/1000000</f>
        <v>470.44099999999997</v>
      </c>
      <c r="D375" s="469">
        <f>('[4]Bieu 57'!I375)/1000000</f>
        <v>470.44099999999997</v>
      </c>
      <c r="E375" s="467"/>
      <c r="F375" s="467"/>
      <c r="G375" s="467"/>
      <c r="H375" s="467"/>
      <c r="I375" s="467"/>
      <c r="J375" s="467"/>
      <c r="K375" s="467"/>
      <c r="L375" s="467"/>
      <c r="M375" s="467"/>
      <c r="N375" s="467"/>
      <c r="O375" s="467"/>
      <c r="P375" s="467"/>
      <c r="Q375" s="345">
        <f t="shared" si="46"/>
        <v>470.44099999999997</v>
      </c>
      <c r="R375" s="467"/>
      <c r="S375" s="467"/>
      <c r="T375" s="467"/>
    </row>
    <row r="376" spans="1:20">
      <c r="A376" s="457">
        <v>6</v>
      </c>
      <c r="B376" s="424" t="s">
        <v>1564</v>
      </c>
      <c r="C376" s="469">
        <f>('[4]Bieu 57'!D376)/1000000</f>
        <v>1242.4608000000001</v>
      </c>
      <c r="D376" s="469">
        <f>('[4]Bieu 57'!I376)/1000000</f>
        <v>1160.1092000000001</v>
      </c>
      <c r="E376" s="467"/>
      <c r="F376" s="467"/>
      <c r="G376" s="467"/>
      <c r="H376" s="467"/>
      <c r="I376" s="467"/>
      <c r="J376" s="467"/>
      <c r="K376" s="467"/>
      <c r="L376" s="467"/>
      <c r="M376" s="467"/>
      <c r="N376" s="467"/>
      <c r="O376" s="467"/>
      <c r="P376" s="467"/>
      <c r="Q376" s="345">
        <f t="shared" si="46"/>
        <v>1160.1092000000001</v>
      </c>
      <c r="R376" s="467"/>
      <c r="S376" s="467"/>
      <c r="T376" s="467"/>
    </row>
    <row r="377" spans="1:20">
      <c r="A377" s="428">
        <v>7</v>
      </c>
      <c r="B377" s="454" t="s">
        <v>1565</v>
      </c>
      <c r="C377" s="469">
        <f>('[4]Bieu 57'!D377)/1000000</f>
        <v>329.73399999999998</v>
      </c>
      <c r="D377" s="469">
        <f>('[4]Bieu 57'!I377)/1000000</f>
        <v>318.891188</v>
      </c>
      <c r="E377" s="467"/>
      <c r="F377" s="467"/>
      <c r="G377" s="467"/>
      <c r="H377" s="467"/>
      <c r="I377" s="467"/>
      <c r="J377" s="467"/>
      <c r="K377" s="467"/>
      <c r="L377" s="467"/>
      <c r="M377" s="467"/>
      <c r="N377" s="467"/>
      <c r="O377" s="467"/>
      <c r="P377" s="467"/>
      <c r="Q377" s="345">
        <f t="shared" si="46"/>
        <v>318.891188</v>
      </c>
      <c r="R377" s="467"/>
      <c r="S377" s="467"/>
      <c r="T377" s="467"/>
    </row>
    <row r="378" spans="1:20">
      <c r="A378" s="428">
        <v>8</v>
      </c>
      <c r="B378" s="454" t="s">
        <v>1566</v>
      </c>
      <c r="C378" s="469">
        <f>('[4]Bieu 57'!D378)/1000000</f>
        <v>348.53893399999998</v>
      </c>
      <c r="D378" s="469">
        <f>('[4]Bieu 57'!I378)/1000000</f>
        <v>348.53893399999998</v>
      </c>
      <c r="E378" s="467"/>
      <c r="F378" s="467"/>
      <c r="G378" s="467"/>
      <c r="H378" s="467"/>
      <c r="I378" s="467"/>
      <c r="J378" s="467"/>
      <c r="K378" s="467"/>
      <c r="L378" s="467"/>
      <c r="M378" s="467"/>
      <c r="N378" s="467"/>
      <c r="O378" s="467"/>
      <c r="P378" s="467"/>
      <c r="Q378" s="345">
        <f t="shared" si="46"/>
        <v>348.53893399999998</v>
      </c>
      <c r="R378" s="467"/>
      <c r="S378" s="467"/>
      <c r="T378" s="467"/>
    </row>
    <row r="379" spans="1:20">
      <c r="A379" s="428">
        <v>9</v>
      </c>
      <c r="B379" s="454" t="s">
        <v>1567</v>
      </c>
      <c r="C379" s="469">
        <f>('[4]Bieu 57'!D379)/1000000</f>
        <v>255.852</v>
      </c>
      <c r="D379" s="469">
        <f>('[4]Bieu 57'!I379)/1000000</f>
        <v>255.852</v>
      </c>
      <c r="E379" s="467"/>
      <c r="F379" s="467"/>
      <c r="G379" s="467"/>
      <c r="H379" s="467"/>
      <c r="I379" s="467"/>
      <c r="J379" s="467"/>
      <c r="K379" s="467"/>
      <c r="L379" s="467"/>
      <c r="M379" s="467"/>
      <c r="N379" s="467"/>
      <c r="O379" s="467"/>
      <c r="P379" s="467"/>
      <c r="Q379" s="345">
        <f t="shared" si="46"/>
        <v>255.852</v>
      </c>
      <c r="R379" s="467"/>
      <c r="S379" s="467"/>
      <c r="T379" s="467"/>
    </row>
    <row r="380" spans="1:20">
      <c r="A380" s="428">
        <v>10</v>
      </c>
      <c r="B380" s="454" t="s">
        <v>1568</v>
      </c>
      <c r="C380" s="469">
        <f>('[4]Bieu 57'!D380)/1000000</f>
        <v>80</v>
      </c>
      <c r="D380" s="469">
        <f>('[4]Bieu 57'!I380)/1000000</f>
        <v>80</v>
      </c>
      <c r="E380" s="467"/>
      <c r="F380" s="467"/>
      <c r="G380" s="467"/>
      <c r="H380" s="467"/>
      <c r="I380" s="467"/>
      <c r="J380" s="467"/>
      <c r="K380" s="467"/>
      <c r="L380" s="467"/>
      <c r="M380" s="467"/>
      <c r="N380" s="467"/>
      <c r="O380" s="467"/>
      <c r="P380" s="467"/>
      <c r="Q380" s="345">
        <f t="shared" si="46"/>
        <v>80</v>
      </c>
      <c r="R380" s="467"/>
      <c r="S380" s="467"/>
      <c r="T380" s="467"/>
    </row>
    <row r="381" spans="1:20">
      <c r="A381" s="428">
        <v>11</v>
      </c>
      <c r="B381" s="454" t="s">
        <v>1569</v>
      </c>
      <c r="C381" s="469">
        <f>('[4]Bieu 57'!D381)/1000000</f>
        <v>945.90200000000004</v>
      </c>
      <c r="D381" s="469">
        <f>('[4]Bieu 57'!I381)/1000000</f>
        <v>945.90200000000004</v>
      </c>
      <c r="E381" s="467"/>
      <c r="F381" s="467"/>
      <c r="G381" s="467"/>
      <c r="H381" s="467"/>
      <c r="I381" s="467"/>
      <c r="J381" s="467"/>
      <c r="K381" s="467"/>
      <c r="L381" s="467"/>
      <c r="M381" s="467"/>
      <c r="N381" s="467"/>
      <c r="O381" s="467"/>
      <c r="P381" s="467"/>
      <c r="Q381" s="345">
        <f t="shared" ref="Q381:Q398" si="49">D381</f>
        <v>945.90200000000004</v>
      </c>
      <c r="R381" s="467"/>
      <c r="S381" s="467"/>
      <c r="T381" s="467"/>
    </row>
    <row r="382" spans="1:20">
      <c r="A382" s="428">
        <v>12</v>
      </c>
      <c r="B382" s="454" t="s">
        <v>1570</v>
      </c>
      <c r="C382" s="469">
        <f>('[4]Bieu 57'!D382)/1000000</f>
        <v>129.625066</v>
      </c>
      <c r="D382" s="469">
        <f>('[4]Bieu 57'!I382)/1000000</f>
        <v>129.625066</v>
      </c>
      <c r="E382" s="467"/>
      <c r="F382" s="467"/>
      <c r="G382" s="467"/>
      <c r="H382" s="467"/>
      <c r="I382" s="467"/>
      <c r="J382" s="467"/>
      <c r="K382" s="467"/>
      <c r="L382" s="467"/>
      <c r="M382" s="467"/>
      <c r="N382" s="467"/>
      <c r="O382" s="467"/>
      <c r="P382" s="467"/>
      <c r="Q382" s="345">
        <f t="shared" si="49"/>
        <v>129.625066</v>
      </c>
      <c r="R382" s="467"/>
      <c r="S382" s="467"/>
      <c r="T382" s="467"/>
    </row>
    <row r="383" spans="1:20">
      <c r="A383" s="428">
        <v>13</v>
      </c>
      <c r="B383" s="454" t="s">
        <v>1571</v>
      </c>
      <c r="C383" s="469">
        <f>('[4]Bieu 57'!D383)/1000000</f>
        <v>80</v>
      </c>
      <c r="D383" s="469">
        <f>('[4]Bieu 57'!I383)/1000000</f>
        <v>80</v>
      </c>
      <c r="E383" s="467"/>
      <c r="F383" s="467"/>
      <c r="G383" s="467"/>
      <c r="H383" s="467"/>
      <c r="I383" s="467"/>
      <c r="J383" s="467"/>
      <c r="K383" s="467"/>
      <c r="L383" s="467"/>
      <c r="M383" s="467"/>
      <c r="N383" s="467"/>
      <c r="O383" s="467"/>
      <c r="P383" s="467"/>
      <c r="Q383" s="345">
        <f t="shared" si="49"/>
        <v>80</v>
      </c>
      <c r="R383" s="467"/>
      <c r="S383" s="467"/>
      <c r="T383" s="467"/>
    </row>
    <row r="384" spans="1:20">
      <c r="A384" s="428">
        <v>14</v>
      </c>
      <c r="B384" s="454" t="s">
        <v>1572</v>
      </c>
      <c r="C384" s="469">
        <f>('[4]Bieu 57'!D384)/1000000</f>
        <v>166.1</v>
      </c>
      <c r="D384" s="469">
        <f>('[4]Bieu 57'!I384)/1000000</f>
        <v>166.1</v>
      </c>
      <c r="E384" s="467"/>
      <c r="F384" s="467"/>
      <c r="G384" s="467"/>
      <c r="H384" s="467"/>
      <c r="I384" s="467"/>
      <c r="J384" s="467"/>
      <c r="K384" s="467"/>
      <c r="L384" s="467"/>
      <c r="M384" s="467"/>
      <c r="N384" s="467"/>
      <c r="O384" s="467"/>
      <c r="P384" s="467"/>
      <c r="Q384" s="345">
        <f t="shared" si="49"/>
        <v>166.1</v>
      </c>
      <c r="R384" s="467"/>
      <c r="S384" s="467"/>
      <c r="T384" s="467"/>
    </row>
    <row r="385" spans="1:20">
      <c r="A385" s="428">
        <v>15</v>
      </c>
      <c r="B385" s="454" t="s">
        <v>1573</v>
      </c>
      <c r="C385" s="469">
        <f>('[4]Bieu 57'!D385)/1000000</f>
        <v>80</v>
      </c>
      <c r="D385" s="469">
        <f>('[4]Bieu 57'!I385)/1000000</f>
        <v>80</v>
      </c>
      <c r="E385" s="467"/>
      <c r="F385" s="467"/>
      <c r="G385" s="467"/>
      <c r="H385" s="467"/>
      <c r="I385" s="467"/>
      <c r="J385" s="467"/>
      <c r="K385" s="467"/>
      <c r="L385" s="467"/>
      <c r="M385" s="467"/>
      <c r="N385" s="467"/>
      <c r="O385" s="467"/>
      <c r="P385" s="467"/>
      <c r="Q385" s="345">
        <f t="shared" si="49"/>
        <v>80</v>
      </c>
      <c r="R385" s="467"/>
      <c r="S385" s="467"/>
      <c r="T385" s="467"/>
    </row>
    <row r="386" spans="1:20">
      <c r="A386" s="428">
        <v>16</v>
      </c>
      <c r="B386" s="454" t="s">
        <v>1574</v>
      </c>
      <c r="C386" s="469">
        <f>('[4]Bieu 57'!D386)/1000000</f>
        <v>206.91399999999999</v>
      </c>
      <c r="D386" s="469">
        <f>('[4]Bieu 57'!I386)/1000000</f>
        <v>206.91399999999999</v>
      </c>
      <c r="E386" s="467"/>
      <c r="F386" s="467"/>
      <c r="G386" s="467"/>
      <c r="H386" s="467"/>
      <c r="I386" s="467"/>
      <c r="J386" s="467"/>
      <c r="K386" s="467"/>
      <c r="L386" s="467"/>
      <c r="M386" s="467"/>
      <c r="N386" s="467"/>
      <c r="O386" s="467"/>
      <c r="P386" s="467"/>
      <c r="Q386" s="345">
        <f t="shared" si="49"/>
        <v>206.91399999999999</v>
      </c>
      <c r="R386" s="467"/>
      <c r="S386" s="467"/>
      <c r="T386" s="467"/>
    </row>
    <row r="387" spans="1:20">
      <c r="A387" s="428">
        <v>17</v>
      </c>
      <c r="B387" s="454" t="s">
        <v>1575</v>
      </c>
      <c r="C387" s="469">
        <f>('[4]Bieu 57'!D387)/1000000</f>
        <v>275.11200000000002</v>
      </c>
      <c r="D387" s="469">
        <f>('[4]Bieu 57'!I387)/1000000</f>
        <v>275.11200000000002</v>
      </c>
      <c r="E387" s="467"/>
      <c r="F387" s="467"/>
      <c r="G387" s="467"/>
      <c r="H387" s="467"/>
      <c r="I387" s="467"/>
      <c r="J387" s="467"/>
      <c r="K387" s="467"/>
      <c r="L387" s="467"/>
      <c r="M387" s="467"/>
      <c r="N387" s="467"/>
      <c r="O387" s="467"/>
      <c r="P387" s="467"/>
      <c r="Q387" s="345">
        <f t="shared" si="49"/>
        <v>275.11200000000002</v>
      </c>
      <c r="R387" s="467"/>
      <c r="S387" s="467"/>
      <c r="T387" s="467"/>
    </row>
    <row r="388" spans="1:20">
      <c r="A388" s="428">
        <v>18</v>
      </c>
      <c r="B388" s="454" t="s">
        <v>1576</v>
      </c>
      <c r="C388" s="469">
        <f>('[4]Bieu 57'!D388)/1000000</f>
        <v>369.71199999999999</v>
      </c>
      <c r="D388" s="469">
        <f>('[4]Bieu 57'!I388)/1000000</f>
        <v>286.71199999999999</v>
      </c>
      <c r="E388" s="467"/>
      <c r="F388" s="467"/>
      <c r="G388" s="467"/>
      <c r="H388" s="467"/>
      <c r="I388" s="467"/>
      <c r="J388" s="467"/>
      <c r="K388" s="467"/>
      <c r="L388" s="467"/>
      <c r="M388" s="467"/>
      <c r="N388" s="467"/>
      <c r="O388" s="467"/>
      <c r="P388" s="467"/>
      <c r="Q388" s="345">
        <f t="shared" si="49"/>
        <v>286.71199999999999</v>
      </c>
      <c r="R388" s="467"/>
      <c r="S388" s="467"/>
      <c r="T388" s="467"/>
    </row>
    <row r="389" spans="1:20">
      <c r="A389" s="428">
        <v>19</v>
      </c>
      <c r="B389" s="454" t="s">
        <v>1577</v>
      </c>
      <c r="C389" s="469">
        <f>('[4]Bieu 57'!D389)/1000000</f>
        <v>131</v>
      </c>
      <c r="D389" s="469">
        <f>('[4]Bieu 57'!I389)/1000000</f>
        <v>103.0675</v>
      </c>
      <c r="E389" s="467"/>
      <c r="F389" s="467"/>
      <c r="G389" s="467"/>
      <c r="H389" s="467"/>
      <c r="I389" s="467"/>
      <c r="J389" s="467"/>
      <c r="K389" s="467"/>
      <c r="L389" s="467"/>
      <c r="M389" s="467"/>
      <c r="N389" s="467"/>
      <c r="O389" s="467"/>
      <c r="P389" s="467"/>
      <c r="Q389" s="345">
        <f t="shared" si="49"/>
        <v>103.0675</v>
      </c>
      <c r="R389" s="467"/>
      <c r="S389" s="467"/>
      <c r="T389" s="467"/>
    </row>
    <row r="390" spans="1:20">
      <c r="A390" s="428">
        <v>20</v>
      </c>
      <c r="B390" s="454" t="s">
        <v>1578</v>
      </c>
      <c r="C390" s="469">
        <f>('[4]Bieu 57'!D390)/1000000</f>
        <v>174.40199999999999</v>
      </c>
      <c r="D390" s="469">
        <f>('[4]Bieu 57'!I390)/1000000</f>
        <v>174.40199999999999</v>
      </c>
      <c r="E390" s="467"/>
      <c r="F390" s="467"/>
      <c r="G390" s="467"/>
      <c r="H390" s="467"/>
      <c r="I390" s="467"/>
      <c r="J390" s="467"/>
      <c r="K390" s="467"/>
      <c r="L390" s="467"/>
      <c r="M390" s="467"/>
      <c r="N390" s="467"/>
      <c r="O390" s="467"/>
      <c r="P390" s="467"/>
      <c r="Q390" s="345">
        <f t="shared" si="49"/>
        <v>174.40199999999999</v>
      </c>
      <c r="R390" s="467"/>
      <c r="S390" s="467"/>
      <c r="T390" s="467"/>
    </row>
    <row r="391" spans="1:20">
      <c r="A391" s="428">
        <v>21</v>
      </c>
      <c r="B391" s="454" t="s">
        <v>1579</v>
      </c>
      <c r="C391" s="469">
        <f>('[4]Bieu 57'!D391)/1000000</f>
        <v>80</v>
      </c>
      <c r="D391" s="469">
        <f>('[4]Bieu 57'!I391)/1000000</f>
        <v>80</v>
      </c>
      <c r="E391" s="467"/>
      <c r="F391" s="467"/>
      <c r="G391" s="467"/>
      <c r="H391" s="467"/>
      <c r="I391" s="467"/>
      <c r="J391" s="467"/>
      <c r="K391" s="467"/>
      <c r="L391" s="467"/>
      <c r="M391" s="467"/>
      <c r="N391" s="467"/>
      <c r="O391" s="467"/>
      <c r="P391" s="467"/>
      <c r="Q391" s="345">
        <f t="shared" si="49"/>
        <v>80</v>
      </c>
      <c r="R391" s="467"/>
      <c r="S391" s="467"/>
      <c r="T391" s="467"/>
    </row>
    <row r="392" spans="1:20">
      <c r="A392" s="428">
        <v>22</v>
      </c>
      <c r="B392" s="454" t="s">
        <v>1580</v>
      </c>
      <c r="C392" s="469">
        <f>('[4]Bieu 57'!D392)/1000000</f>
        <v>40</v>
      </c>
      <c r="D392" s="469">
        <f>('[4]Bieu 57'!I392)/1000000</f>
        <v>40</v>
      </c>
      <c r="E392" s="467"/>
      <c r="F392" s="467"/>
      <c r="G392" s="467"/>
      <c r="H392" s="467"/>
      <c r="I392" s="467"/>
      <c r="J392" s="467"/>
      <c r="K392" s="467"/>
      <c r="L392" s="467"/>
      <c r="M392" s="467"/>
      <c r="N392" s="467"/>
      <c r="O392" s="467"/>
      <c r="P392" s="467"/>
      <c r="Q392" s="345">
        <f t="shared" si="49"/>
        <v>40</v>
      </c>
      <c r="R392" s="467"/>
      <c r="S392" s="467"/>
      <c r="T392" s="467"/>
    </row>
    <row r="393" spans="1:20">
      <c r="A393" s="428">
        <v>23</v>
      </c>
      <c r="B393" s="454" t="s">
        <v>1581</v>
      </c>
      <c r="C393" s="469">
        <f>('[4]Bieu 57'!D393)/1000000</f>
        <v>80</v>
      </c>
      <c r="D393" s="469">
        <f>('[4]Bieu 57'!I393)/1000000</f>
        <v>80</v>
      </c>
      <c r="E393" s="467"/>
      <c r="F393" s="467"/>
      <c r="G393" s="467"/>
      <c r="H393" s="467"/>
      <c r="I393" s="467"/>
      <c r="J393" s="467"/>
      <c r="K393" s="467"/>
      <c r="L393" s="467"/>
      <c r="M393" s="467"/>
      <c r="N393" s="467"/>
      <c r="O393" s="467"/>
      <c r="P393" s="467"/>
      <c r="Q393" s="345">
        <f t="shared" si="49"/>
        <v>80</v>
      </c>
      <c r="R393" s="467"/>
      <c r="S393" s="467"/>
      <c r="T393" s="467"/>
    </row>
    <row r="394" spans="1:20">
      <c r="A394" s="428">
        <v>24</v>
      </c>
      <c r="B394" s="454" t="s">
        <v>1582</v>
      </c>
      <c r="C394" s="469">
        <f>('[4]Bieu 57'!D394)/1000000</f>
        <v>80</v>
      </c>
      <c r="D394" s="469">
        <f>('[4]Bieu 57'!I394)/1000000</f>
        <v>80</v>
      </c>
      <c r="E394" s="467"/>
      <c r="F394" s="467"/>
      <c r="G394" s="467"/>
      <c r="H394" s="467"/>
      <c r="I394" s="467"/>
      <c r="J394" s="467"/>
      <c r="K394" s="467"/>
      <c r="L394" s="467"/>
      <c r="M394" s="467"/>
      <c r="N394" s="467"/>
      <c r="O394" s="467"/>
      <c r="P394" s="467"/>
      <c r="Q394" s="345">
        <f t="shared" si="49"/>
        <v>80</v>
      </c>
      <c r="R394" s="467"/>
      <c r="S394" s="467"/>
      <c r="T394" s="467"/>
    </row>
    <row r="395" spans="1:20">
      <c r="A395" s="428">
        <v>25</v>
      </c>
      <c r="B395" s="454" t="s">
        <v>1583</v>
      </c>
      <c r="C395" s="469">
        <f>('[4]Bieu 57'!D395)/1000000</f>
        <v>80</v>
      </c>
      <c r="D395" s="469">
        <f>('[4]Bieu 57'!I395)/1000000</f>
        <v>80</v>
      </c>
      <c r="E395" s="467"/>
      <c r="F395" s="467"/>
      <c r="G395" s="467"/>
      <c r="H395" s="467"/>
      <c r="I395" s="467"/>
      <c r="J395" s="467"/>
      <c r="K395" s="467"/>
      <c r="L395" s="467"/>
      <c r="M395" s="467"/>
      <c r="N395" s="467"/>
      <c r="O395" s="467"/>
      <c r="P395" s="467"/>
      <c r="Q395" s="345">
        <f t="shared" si="49"/>
        <v>80</v>
      </c>
      <c r="R395" s="467"/>
      <c r="S395" s="467"/>
      <c r="T395" s="467"/>
    </row>
    <row r="396" spans="1:20">
      <c r="A396" s="428">
        <v>26</v>
      </c>
      <c r="B396" s="454" t="s">
        <v>1584</v>
      </c>
      <c r="C396" s="469">
        <f>('[4]Bieu 57'!D396)/1000000</f>
        <v>110</v>
      </c>
      <c r="D396" s="469">
        <f>('[4]Bieu 57'!I396)/1000000</f>
        <v>110</v>
      </c>
      <c r="E396" s="467"/>
      <c r="F396" s="467"/>
      <c r="G396" s="467"/>
      <c r="H396" s="467"/>
      <c r="I396" s="467"/>
      <c r="J396" s="467"/>
      <c r="K396" s="467"/>
      <c r="L396" s="467"/>
      <c r="M396" s="467"/>
      <c r="N396" s="467"/>
      <c r="O396" s="467"/>
      <c r="P396" s="467"/>
      <c r="Q396" s="345">
        <f t="shared" si="49"/>
        <v>110</v>
      </c>
      <c r="R396" s="467"/>
      <c r="S396" s="467"/>
      <c r="T396" s="467"/>
    </row>
    <row r="397" spans="1:20">
      <c r="A397" s="428">
        <v>27</v>
      </c>
      <c r="B397" s="454" t="s">
        <v>1585</v>
      </c>
      <c r="C397" s="469">
        <f>('[4]Bieu 57'!D397)/1000000</f>
        <v>88.3</v>
      </c>
      <c r="D397" s="469">
        <f>('[4]Bieu 57'!I397)/1000000</f>
        <v>88.3</v>
      </c>
      <c r="E397" s="467"/>
      <c r="F397" s="467"/>
      <c r="G397" s="467"/>
      <c r="H397" s="467"/>
      <c r="I397" s="467"/>
      <c r="J397" s="467"/>
      <c r="K397" s="467"/>
      <c r="L397" s="467"/>
      <c r="M397" s="467"/>
      <c r="N397" s="467"/>
      <c r="O397" s="467"/>
      <c r="P397" s="467"/>
      <c r="Q397" s="345">
        <f t="shared" si="49"/>
        <v>88.3</v>
      </c>
      <c r="R397" s="467"/>
      <c r="S397" s="467"/>
      <c r="T397" s="467"/>
    </row>
    <row r="398" spans="1:20">
      <c r="A398" s="428">
        <v>28</v>
      </c>
      <c r="B398" s="454" t="s">
        <v>1586</v>
      </c>
      <c r="C398" s="469">
        <f>('[4]Bieu 57'!D398)/1000000</f>
        <v>80</v>
      </c>
      <c r="D398" s="469">
        <f>('[4]Bieu 57'!I398)/1000000</f>
        <v>80</v>
      </c>
      <c r="E398" s="467"/>
      <c r="F398" s="467"/>
      <c r="G398" s="467"/>
      <c r="H398" s="467"/>
      <c r="I398" s="467"/>
      <c r="J398" s="467"/>
      <c r="K398" s="467"/>
      <c r="L398" s="467"/>
      <c r="M398" s="467"/>
      <c r="N398" s="467"/>
      <c r="O398" s="467"/>
      <c r="P398" s="467"/>
      <c r="Q398" s="345">
        <f t="shared" si="49"/>
        <v>80</v>
      </c>
      <c r="R398" s="467"/>
      <c r="S398" s="467"/>
      <c r="T398" s="467"/>
    </row>
    <row r="399" spans="1:20" s="421" customFormat="1">
      <c r="A399" s="426" t="s">
        <v>1587</v>
      </c>
      <c r="B399" s="361" t="s">
        <v>1588</v>
      </c>
      <c r="C399" s="468">
        <f>C400+C411+C421+C423+C427+C428+C430+C432+C434+C435+C436</f>
        <v>18615.593000000001</v>
      </c>
      <c r="D399" s="468">
        <f>D400+D411+D421+D423+D427+D428+D430+D432+D434+D435+D436</f>
        <v>17667.103000000003</v>
      </c>
      <c r="E399" s="468">
        <f t="shared" ref="E399:T399" si="50">E400+E411+E421+E423+E427+E428+E430+E432+E434+E435+E436</f>
        <v>0</v>
      </c>
      <c r="F399" s="468">
        <f t="shared" si="50"/>
        <v>0</v>
      </c>
      <c r="G399" s="468">
        <f t="shared" si="50"/>
        <v>0</v>
      </c>
      <c r="H399" s="468">
        <f t="shared" si="50"/>
        <v>0</v>
      </c>
      <c r="I399" s="468">
        <f t="shared" si="50"/>
        <v>0</v>
      </c>
      <c r="J399" s="468">
        <f t="shared" si="50"/>
        <v>0</v>
      </c>
      <c r="K399" s="468">
        <f t="shared" si="50"/>
        <v>0</v>
      </c>
      <c r="L399" s="468">
        <f t="shared" si="50"/>
        <v>0</v>
      </c>
      <c r="M399" s="468">
        <f t="shared" si="50"/>
        <v>0</v>
      </c>
      <c r="N399" s="468">
        <f t="shared" si="50"/>
        <v>0</v>
      </c>
      <c r="O399" s="468">
        <f t="shared" si="50"/>
        <v>0</v>
      </c>
      <c r="P399" s="468">
        <f t="shared" si="50"/>
        <v>0</v>
      </c>
      <c r="Q399" s="468">
        <f t="shared" si="50"/>
        <v>0</v>
      </c>
      <c r="R399" s="468">
        <f t="shared" si="50"/>
        <v>17667.103000000003</v>
      </c>
      <c r="S399" s="468">
        <f t="shared" si="50"/>
        <v>0</v>
      </c>
      <c r="T399" s="468">
        <f t="shared" si="50"/>
        <v>0</v>
      </c>
    </row>
    <row r="400" spans="1:20" s="443" customFormat="1" ht="13.5">
      <c r="A400" s="438">
        <v>1</v>
      </c>
      <c r="B400" s="439" t="s">
        <v>1589</v>
      </c>
      <c r="C400" s="472">
        <f>SUM(C401:C410)</f>
        <v>12581.393</v>
      </c>
      <c r="D400" s="472">
        <f t="shared" ref="D400:T400" si="51">SUM(D401:D410)</f>
        <v>12331.0299</v>
      </c>
      <c r="E400" s="472">
        <f t="shared" si="51"/>
        <v>0</v>
      </c>
      <c r="F400" s="472">
        <f t="shared" si="51"/>
        <v>0</v>
      </c>
      <c r="G400" s="472">
        <f t="shared" si="51"/>
        <v>0</v>
      </c>
      <c r="H400" s="472">
        <f t="shared" si="51"/>
        <v>0</v>
      </c>
      <c r="I400" s="472">
        <f t="shared" si="51"/>
        <v>0</v>
      </c>
      <c r="J400" s="472">
        <f t="shared" si="51"/>
        <v>0</v>
      </c>
      <c r="K400" s="472">
        <f t="shared" si="51"/>
        <v>0</v>
      </c>
      <c r="L400" s="472">
        <f t="shared" si="51"/>
        <v>0</v>
      </c>
      <c r="M400" s="472">
        <f t="shared" si="51"/>
        <v>0</v>
      </c>
      <c r="N400" s="472">
        <f t="shared" si="51"/>
        <v>0</v>
      </c>
      <c r="O400" s="472">
        <f t="shared" si="51"/>
        <v>0</v>
      </c>
      <c r="P400" s="472">
        <f t="shared" si="51"/>
        <v>0</v>
      </c>
      <c r="Q400" s="472">
        <f t="shared" si="51"/>
        <v>0</v>
      </c>
      <c r="R400" s="472">
        <f t="shared" si="51"/>
        <v>12331.0299</v>
      </c>
      <c r="S400" s="472">
        <f t="shared" si="51"/>
        <v>0</v>
      </c>
      <c r="T400" s="472">
        <f t="shared" si="51"/>
        <v>0</v>
      </c>
    </row>
    <row r="401" spans="1:20">
      <c r="A401" s="422"/>
      <c r="B401" s="437" t="s">
        <v>1590</v>
      </c>
      <c r="C401" s="469">
        <f>('[4]Bieu 57'!D401)/1000000</f>
        <v>983.471</v>
      </c>
      <c r="D401" s="469">
        <f>('[4]Bieu 57'!I401)/1000000</f>
        <v>983.471</v>
      </c>
      <c r="E401" s="467"/>
      <c r="F401" s="467"/>
      <c r="G401" s="467"/>
      <c r="H401" s="467"/>
      <c r="I401" s="467"/>
      <c r="J401" s="467"/>
      <c r="K401" s="467"/>
      <c r="L401" s="467"/>
      <c r="M401" s="467"/>
      <c r="N401" s="467"/>
      <c r="O401" s="467"/>
      <c r="P401" s="467"/>
      <c r="Q401" s="467"/>
      <c r="R401" s="345">
        <f>D401</f>
        <v>983.471</v>
      </c>
      <c r="S401" s="467"/>
      <c r="T401" s="467"/>
    </row>
    <row r="402" spans="1:20">
      <c r="A402" s="422"/>
      <c r="B402" s="437" t="s">
        <v>1591</v>
      </c>
      <c r="C402" s="469">
        <f>('[4]Bieu 57'!D402)/1000000</f>
        <v>2477.5830000000001</v>
      </c>
      <c r="D402" s="469">
        <f>('[4]Bieu 57'!I402)/1000000</f>
        <v>2477.5830000000001</v>
      </c>
      <c r="E402" s="467"/>
      <c r="F402" s="467"/>
      <c r="G402" s="467"/>
      <c r="H402" s="467"/>
      <c r="I402" s="467"/>
      <c r="J402" s="467"/>
      <c r="K402" s="467"/>
      <c r="L402" s="467"/>
      <c r="M402" s="467"/>
      <c r="N402" s="467"/>
      <c r="O402" s="467"/>
      <c r="P402" s="467"/>
      <c r="Q402" s="467"/>
      <c r="R402" s="345">
        <f t="shared" ref="R402:R444" si="52">D402</f>
        <v>2477.5830000000001</v>
      </c>
      <c r="S402" s="467"/>
      <c r="T402" s="467"/>
    </row>
    <row r="403" spans="1:20">
      <c r="A403" s="422"/>
      <c r="B403" s="437" t="s">
        <v>1592</v>
      </c>
      <c r="C403" s="469">
        <f>('[4]Bieu 57'!D403)/1000000</f>
        <v>2338.2220000000002</v>
      </c>
      <c r="D403" s="469">
        <f>('[4]Bieu 57'!I403)/1000000</f>
        <v>2274.8881000000001</v>
      </c>
      <c r="E403" s="467"/>
      <c r="F403" s="467"/>
      <c r="G403" s="467"/>
      <c r="H403" s="467"/>
      <c r="I403" s="467"/>
      <c r="J403" s="467"/>
      <c r="K403" s="467"/>
      <c r="L403" s="467"/>
      <c r="M403" s="467"/>
      <c r="N403" s="467"/>
      <c r="O403" s="467"/>
      <c r="P403" s="467"/>
      <c r="Q403" s="467"/>
      <c r="R403" s="345">
        <f t="shared" si="52"/>
        <v>2274.8881000000001</v>
      </c>
      <c r="S403" s="467"/>
      <c r="T403" s="467"/>
    </row>
    <row r="404" spans="1:20">
      <c r="A404" s="422"/>
      <c r="B404" s="437" t="s">
        <v>1593</v>
      </c>
      <c r="C404" s="469">
        <f>('[4]Bieu 57'!D404)/1000000</f>
        <v>890</v>
      </c>
      <c r="D404" s="469">
        <f>('[4]Bieu 57'!I404)/1000000</f>
        <v>890</v>
      </c>
      <c r="E404" s="467"/>
      <c r="F404" s="467"/>
      <c r="G404" s="467"/>
      <c r="H404" s="467"/>
      <c r="I404" s="467"/>
      <c r="J404" s="467"/>
      <c r="K404" s="467"/>
      <c r="L404" s="467"/>
      <c r="M404" s="467"/>
      <c r="N404" s="467"/>
      <c r="O404" s="467"/>
      <c r="P404" s="467"/>
      <c r="Q404" s="467"/>
      <c r="R404" s="345">
        <f t="shared" si="52"/>
        <v>890</v>
      </c>
      <c r="S404" s="467"/>
      <c r="T404" s="467"/>
    </row>
    <row r="405" spans="1:20">
      <c r="A405" s="422"/>
      <c r="B405" s="437" t="s">
        <v>1594</v>
      </c>
      <c r="C405" s="469">
        <f>('[4]Bieu 57'!D405)/1000000</f>
        <v>1932.6590000000001</v>
      </c>
      <c r="D405" s="469">
        <f>('[4]Bieu 57'!I405)/1000000</f>
        <v>1932.6590000000001</v>
      </c>
      <c r="E405" s="467"/>
      <c r="F405" s="467"/>
      <c r="G405" s="467"/>
      <c r="H405" s="467"/>
      <c r="I405" s="467"/>
      <c r="J405" s="467"/>
      <c r="K405" s="467"/>
      <c r="L405" s="467"/>
      <c r="M405" s="467"/>
      <c r="N405" s="467"/>
      <c r="O405" s="467"/>
      <c r="P405" s="467"/>
      <c r="Q405" s="467"/>
      <c r="R405" s="345">
        <f t="shared" si="52"/>
        <v>1932.6590000000001</v>
      </c>
      <c r="S405" s="467"/>
      <c r="T405" s="467"/>
    </row>
    <row r="406" spans="1:20">
      <c r="A406" s="422"/>
      <c r="B406" s="437" t="s">
        <v>1595</v>
      </c>
      <c r="C406" s="469">
        <f>('[4]Bieu 57'!D406)/1000000</f>
        <v>726.15200000000004</v>
      </c>
      <c r="D406" s="469">
        <f>('[4]Bieu 57'!I406)/1000000</f>
        <v>708.03200000000004</v>
      </c>
      <c r="E406" s="467"/>
      <c r="F406" s="467"/>
      <c r="G406" s="467"/>
      <c r="H406" s="467"/>
      <c r="I406" s="467"/>
      <c r="J406" s="467"/>
      <c r="K406" s="467"/>
      <c r="L406" s="467"/>
      <c r="M406" s="467"/>
      <c r="N406" s="467"/>
      <c r="O406" s="467"/>
      <c r="P406" s="467"/>
      <c r="Q406" s="467"/>
      <c r="R406" s="345">
        <f t="shared" si="52"/>
        <v>708.03200000000004</v>
      </c>
      <c r="S406" s="467"/>
      <c r="T406" s="467"/>
    </row>
    <row r="407" spans="1:20">
      <c r="A407" s="422"/>
      <c r="B407" s="429" t="s">
        <v>1596</v>
      </c>
      <c r="C407" s="469">
        <f>('[4]Bieu 57'!D407)/1000000</f>
        <v>2586.1999999999998</v>
      </c>
      <c r="D407" s="469">
        <f>('[4]Bieu 57'!I407)/1000000</f>
        <v>2417.2908000000002</v>
      </c>
      <c r="E407" s="467"/>
      <c r="F407" s="467"/>
      <c r="G407" s="467"/>
      <c r="H407" s="467"/>
      <c r="I407" s="467"/>
      <c r="J407" s="467"/>
      <c r="K407" s="467"/>
      <c r="L407" s="467"/>
      <c r="M407" s="467"/>
      <c r="N407" s="467"/>
      <c r="O407" s="467"/>
      <c r="P407" s="467"/>
      <c r="Q407" s="467"/>
      <c r="R407" s="345">
        <f t="shared" si="52"/>
        <v>2417.2908000000002</v>
      </c>
      <c r="S407" s="467"/>
      <c r="T407" s="467"/>
    </row>
    <row r="408" spans="1:20">
      <c r="A408" s="422"/>
      <c r="B408" s="423" t="s">
        <v>1597</v>
      </c>
      <c r="C408" s="469">
        <f>('[4]Bieu 57'!D408)/1000000</f>
        <v>188.506</v>
      </c>
      <c r="D408" s="469">
        <f>('[4]Bieu 57'!I408)/1000000</f>
        <v>188.506</v>
      </c>
      <c r="E408" s="467"/>
      <c r="F408" s="467"/>
      <c r="G408" s="467"/>
      <c r="H408" s="467"/>
      <c r="I408" s="467"/>
      <c r="J408" s="467"/>
      <c r="K408" s="467"/>
      <c r="L408" s="467"/>
      <c r="M408" s="467"/>
      <c r="N408" s="467"/>
      <c r="O408" s="467"/>
      <c r="P408" s="467"/>
      <c r="Q408" s="467"/>
      <c r="R408" s="345">
        <f t="shared" si="52"/>
        <v>188.506</v>
      </c>
      <c r="S408" s="467"/>
      <c r="T408" s="467"/>
    </row>
    <row r="409" spans="1:20">
      <c r="A409" s="422"/>
      <c r="B409" s="423" t="s">
        <v>1551</v>
      </c>
      <c r="C409" s="469">
        <f>('[4]Bieu 57'!D409)/1000000</f>
        <v>16</v>
      </c>
      <c r="D409" s="469">
        <f>('[4]Bieu 57'!I409)/1000000</f>
        <v>16</v>
      </c>
      <c r="E409" s="467"/>
      <c r="F409" s="467"/>
      <c r="G409" s="467"/>
      <c r="H409" s="467"/>
      <c r="I409" s="467"/>
      <c r="J409" s="467"/>
      <c r="K409" s="467"/>
      <c r="L409" s="467"/>
      <c r="M409" s="467"/>
      <c r="N409" s="467"/>
      <c r="O409" s="467"/>
      <c r="P409" s="467"/>
      <c r="Q409" s="467"/>
      <c r="R409" s="345">
        <f t="shared" si="52"/>
        <v>16</v>
      </c>
      <c r="S409" s="467"/>
      <c r="T409" s="467"/>
    </row>
    <row r="410" spans="1:20">
      <c r="A410" s="445"/>
      <c r="B410" s="423" t="s">
        <v>1598</v>
      </c>
      <c r="C410" s="469">
        <f>('[4]Bieu 57'!D410)/1000000</f>
        <v>442.6</v>
      </c>
      <c r="D410" s="469">
        <f>('[4]Bieu 57'!I410)/1000000</f>
        <v>442.6</v>
      </c>
      <c r="E410" s="467"/>
      <c r="F410" s="467"/>
      <c r="G410" s="467"/>
      <c r="H410" s="467"/>
      <c r="I410" s="467"/>
      <c r="J410" s="467"/>
      <c r="K410" s="467"/>
      <c r="L410" s="467"/>
      <c r="M410" s="467"/>
      <c r="N410" s="467"/>
      <c r="O410" s="467"/>
      <c r="P410" s="467"/>
      <c r="Q410" s="467"/>
      <c r="R410" s="345">
        <f t="shared" si="52"/>
        <v>442.6</v>
      </c>
      <c r="S410" s="467"/>
      <c r="T410" s="467"/>
    </row>
    <row r="411" spans="1:20" s="421" customFormat="1" ht="13.5">
      <c r="A411" s="438">
        <v>2</v>
      </c>
      <c r="B411" s="439" t="s">
        <v>1599</v>
      </c>
      <c r="C411" s="468">
        <f>SUM(C412:C420)</f>
        <v>1815.2</v>
      </c>
      <c r="D411" s="468">
        <f t="shared" ref="D411:T411" si="53">SUM(D412:D420)</f>
        <v>1815.2</v>
      </c>
      <c r="E411" s="468">
        <f t="shared" si="53"/>
        <v>0</v>
      </c>
      <c r="F411" s="468">
        <f t="shared" si="53"/>
        <v>0</v>
      </c>
      <c r="G411" s="468">
        <f t="shared" si="53"/>
        <v>0</v>
      </c>
      <c r="H411" s="468">
        <f t="shared" si="53"/>
        <v>0</v>
      </c>
      <c r="I411" s="468">
        <f t="shared" si="53"/>
        <v>0</v>
      </c>
      <c r="J411" s="468">
        <f t="shared" si="53"/>
        <v>0</v>
      </c>
      <c r="K411" s="468">
        <f t="shared" si="53"/>
        <v>0</v>
      </c>
      <c r="L411" s="468">
        <f t="shared" si="53"/>
        <v>0</v>
      </c>
      <c r="M411" s="468">
        <f t="shared" si="53"/>
        <v>0</v>
      </c>
      <c r="N411" s="468">
        <f t="shared" si="53"/>
        <v>0</v>
      </c>
      <c r="O411" s="468">
        <f t="shared" si="53"/>
        <v>0</v>
      </c>
      <c r="P411" s="468">
        <f t="shared" si="53"/>
        <v>0</v>
      </c>
      <c r="Q411" s="468">
        <f t="shared" si="53"/>
        <v>0</v>
      </c>
      <c r="R411" s="468">
        <f t="shared" si="53"/>
        <v>1815.2</v>
      </c>
      <c r="S411" s="468">
        <f t="shared" si="53"/>
        <v>0</v>
      </c>
      <c r="T411" s="468">
        <f t="shared" si="53"/>
        <v>0</v>
      </c>
    </row>
    <row r="412" spans="1:20">
      <c r="A412" s="422"/>
      <c r="B412" s="424" t="s">
        <v>1600</v>
      </c>
      <c r="C412" s="469">
        <f>('[4]Bieu 57'!D412)/1000000</f>
        <v>82.9</v>
      </c>
      <c r="D412" s="469">
        <f>('[4]Bieu 57'!I412)/1000000</f>
        <v>82.9</v>
      </c>
      <c r="E412" s="467"/>
      <c r="F412" s="467"/>
      <c r="G412" s="467"/>
      <c r="H412" s="467"/>
      <c r="I412" s="467"/>
      <c r="J412" s="467"/>
      <c r="K412" s="467"/>
      <c r="L412" s="467"/>
      <c r="M412" s="467"/>
      <c r="N412" s="467"/>
      <c r="O412" s="467"/>
      <c r="P412" s="467"/>
      <c r="Q412" s="467"/>
      <c r="R412" s="345">
        <f t="shared" si="52"/>
        <v>82.9</v>
      </c>
      <c r="S412" s="467"/>
      <c r="T412" s="467"/>
    </row>
    <row r="413" spans="1:20">
      <c r="A413" s="422"/>
      <c r="B413" s="424" t="s">
        <v>1601</v>
      </c>
      <c r="C413" s="469">
        <f>('[4]Bieu 57'!D413)/1000000</f>
        <v>23.6</v>
      </c>
      <c r="D413" s="469">
        <f>('[4]Bieu 57'!I413)/1000000</f>
        <v>23.6</v>
      </c>
      <c r="E413" s="467"/>
      <c r="F413" s="467"/>
      <c r="G413" s="467"/>
      <c r="H413" s="467"/>
      <c r="I413" s="467"/>
      <c r="J413" s="467"/>
      <c r="K413" s="467"/>
      <c r="L413" s="467"/>
      <c r="M413" s="467"/>
      <c r="N413" s="467"/>
      <c r="O413" s="467"/>
      <c r="P413" s="467"/>
      <c r="Q413" s="467"/>
      <c r="R413" s="345">
        <f t="shared" si="52"/>
        <v>23.6</v>
      </c>
      <c r="S413" s="467"/>
      <c r="T413" s="467"/>
    </row>
    <row r="414" spans="1:20">
      <c r="A414" s="422"/>
      <c r="B414" s="424" t="s">
        <v>1602</v>
      </c>
      <c r="C414" s="469">
        <f>('[4]Bieu 57'!D414)/1000000</f>
        <v>539.4</v>
      </c>
      <c r="D414" s="469">
        <f>('[4]Bieu 57'!I414)/1000000</f>
        <v>539.4</v>
      </c>
      <c r="E414" s="467"/>
      <c r="F414" s="467"/>
      <c r="G414" s="467"/>
      <c r="H414" s="467"/>
      <c r="I414" s="467"/>
      <c r="J414" s="467"/>
      <c r="K414" s="467"/>
      <c r="L414" s="467"/>
      <c r="M414" s="467"/>
      <c r="N414" s="467"/>
      <c r="O414" s="467"/>
      <c r="P414" s="467"/>
      <c r="Q414" s="467"/>
      <c r="R414" s="345">
        <f t="shared" si="52"/>
        <v>539.4</v>
      </c>
      <c r="S414" s="467"/>
      <c r="T414" s="467"/>
    </row>
    <row r="415" spans="1:20">
      <c r="A415" s="422"/>
      <c r="B415" s="424" t="s">
        <v>1603</v>
      </c>
      <c r="C415" s="469">
        <f>('[4]Bieu 57'!D415)/1000000</f>
        <v>395.5</v>
      </c>
      <c r="D415" s="469">
        <f>('[4]Bieu 57'!I415)/1000000</f>
        <v>395.5</v>
      </c>
      <c r="E415" s="467"/>
      <c r="F415" s="467"/>
      <c r="G415" s="467"/>
      <c r="H415" s="467"/>
      <c r="I415" s="467"/>
      <c r="J415" s="467"/>
      <c r="K415" s="467"/>
      <c r="L415" s="467"/>
      <c r="M415" s="467"/>
      <c r="N415" s="467"/>
      <c r="O415" s="467"/>
      <c r="P415" s="467"/>
      <c r="Q415" s="467"/>
      <c r="R415" s="345">
        <f t="shared" si="52"/>
        <v>395.5</v>
      </c>
      <c r="S415" s="467"/>
      <c r="T415" s="467"/>
    </row>
    <row r="416" spans="1:20">
      <c r="A416" s="422"/>
      <c r="B416" s="424" t="s">
        <v>1604</v>
      </c>
      <c r="C416" s="469">
        <f>('[4]Bieu 57'!D416)/1000000</f>
        <v>259.2</v>
      </c>
      <c r="D416" s="469">
        <f>('[4]Bieu 57'!I416)/1000000</f>
        <v>259.2</v>
      </c>
      <c r="E416" s="467"/>
      <c r="F416" s="467"/>
      <c r="G416" s="467"/>
      <c r="H416" s="467"/>
      <c r="I416" s="467"/>
      <c r="J416" s="467"/>
      <c r="K416" s="467"/>
      <c r="L416" s="467"/>
      <c r="M416" s="467"/>
      <c r="N416" s="467"/>
      <c r="O416" s="467"/>
      <c r="P416" s="467"/>
      <c r="Q416" s="467"/>
      <c r="R416" s="345">
        <f t="shared" si="52"/>
        <v>259.2</v>
      </c>
      <c r="S416" s="467"/>
      <c r="T416" s="467"/>
    </row>
    <row r="417" spans="1:20">
      <c r="A417" s="422"/>
      <c r="B417" s="424" t="s">
        <v>1605</v>
      </c>
      <c r="C417" s="469">
        <f>('[4]Bieu 57'!D417)/1000000</f>
        <v>225.7</v>
      </c>
      <c r="D417" s="469">
        <f>('[4]Bieu 57'!I417)/1000000</f>
        <v>225.7</v>
      </c>
      <c r="E417" s="467"/>
      <c r="F417" s="467"/>
      <c r="G417" s="467"/>
      <c r="H417" s="467"/>
      <c r="I417" s="467"/>
      <c r="J417" s="467"/>
      <c r="K417" s="467"/>
      <c r="L417" s="467"/>
      <c r="M417" s="467"/>
      <c r="N417" s="467"/>
      <c r="O417" s="467"/>
      <c r="P417" s="467"/>
      <c r="Q417" s="467"/>
      <c r="R417" s="345">
        <f t="shared" si="52"/>
        <v>225.7</v>
      </c>
      <c r="S417" s="467"/>
      <c r="T417" s="467"/>
    </row>
    <row r="418" spans="1:20">
      <c r="A418" s="422"/>
      <c r="B418" s="424" t="s">
        <v>1606</v>
      </c>
      <c r="C418" s="469">
        <f>('[4]Bieu 57'!D418)/1000000</f>
        <v>47.2</v>
      </c>
      <c r="D418" s="469">
        <f>('[4]Bieu 57'!I418)/1000000</f>
        <v>47.2</v>
      </c>
      <c r="E418" s="467"/>
      <c r="F418" s="467"/>
      <c r="G418" s="467"/>
      <c r="H418" s="467"/>
      <c r="I418" s="467"/>
      <c r="J418" s="467"/>
      <c r="K418" s="467"/>
      <c r="L418" s="467"/>
      <c r="M418" s="467"/>
      <c r="N418" s="467"/>
      <c r="O418" s="467"/>
      <c r="P418" s="467"/>
      <c r="Q418" s="467"/>
      <c r="R418" s="345">
        <f t="shared" si="52"/>
        <v>47.2</v>
      </c>
      <c r="S418" s="467"/>
      <c r="T418" s="467"/>
    </row>
    <row r="419" spans="1:20">
      <c r="A419" s="422"/>
      <c r="B419" s="424" t="s">
        <v>1607</v>
      </c>
      <c r="C419" s="469">
        <f>('[4]Bieu 57'!D419)/1000000</f>
        <v>118.6</v>
      </c>
      <c r="D419" s="469">
        <f>('[4]Bieu 57'!I419)/1000000</f>
        <v>118.6</v>
      </c>
      <c r="E419" s="467"/>
      <c r="F419" s="467"/>
      <c r="G419" s="467"/>
      <c r="H419" s="467"/>
      <c r="I419" s="467"/>
      <c r="J419" s="467"/>
      <c r="K419" s="467"/>
      <c r="L419" s="467"/>
      <c r="M419" s="467"/>
      <c r="N419" s="467"/>
      <c r="O419" s="467"/>
      <c r="P419" s="467"/>
      <c r="Q419" s="467"/>
      <c r="R419" s="345">
        <f t="shared" si="52"/>
        <v>118.6</v>
      </c>
      <c r="S419" s="467"/>
      <c r="T419" s="467"/>
    </row>
    <row r="420" spans="1:20">
      <c r="A420" s="422"/>
      <c r="B420" s="424" t="s">
        <v>1608</v>
      </c>
      <c r="C420" s="469">
        <f>('[4]Bieu 57'!D420)/1000000</f>
        <v>123.1</v>
      </c>
      <c r="D420" s="469">
        <f>('[4]Bieu 57'!I420)/1000000</f>
        <v>123.1</v>
      </c>
      <c r="E420" s="467"/>
      <c r="F420" s="467"/>
      <c r="G420" s="467"/>
      <c r="H420" s="467"/>
      <c r="I420" s="467"/>
      <c r="J420" s="467"/>
      <c r="K420" s="467"/>
      <c r="L420" s="467"/>
      <c r="M420" s="467"/>
      <c r="N420" s="467"/>
      <c r="O420" s="467"/>
      <c r="P420" s="467"/>
      <c r="Q420" s="467"/>
      <c r="R420" s="345">
        <f t="shared" si="52"/>
        <v>123.1</v>
      </c>
      <c r="S420" s="467"/>
      <c r="T420" s="467"/>
    </row>
    <row r="421" spans="1:20" s="421" customFormat="1" ht="13.5">
      <c r="A421" s="438">
        <v>3</v>
      </c>
      <c r="B421" s="439" t="s">
        <v>1609</v>
      </c>
      <c r="C421" s="468">
        <f>C422</f>
        <v>150</v>
      </c>
      <c r="D421" s="468">
        <f t="shared" ref="D421:T421" si="54">D422</f>
        <v>140.69739999999999</v>
      </c>
      <c r="E421" s="468">
        <f t="shared" si="54"/>
        <v>0</v>
      </c>
      <c r="F421" s="468">
        <f t="shared" si="54"/>
        <v>0</v>
      </c>
      <c r="G421" s="468">
        <f t="shared" si="54"/>
        <v>0</v>
      </c>
      <c r="H421" s="468">
        <f t="shared" si="54"/>
        <v>0</v>
      </c>
      <c r="I421" s="468">
        <f t="shared" si="54"/>
        <v>0</v>
      </c>
      <c r="J421" s="468">
        <f t="shared" si="54"/>
        <v>0</v>
      </c>
      <c r="K421" s="468">
        <f t="shared" si="54"/>
        <v>0</v>
      </c>
      <c r="L421" s="468">
        <f t="shared" si="54"/>
        <v>0</v>
      </c>
      <c r="M421" s="468">
        <f t="shared" si="54"/>
        <v>0</v>
      </c>
      <c r="N421" s="468">
        <f t="shared" si="54"/>
        <v>0</v>
      </c>
      <c r="O421" s="468">
        <f t="shared" si="54"/>
        <v>0</v>
      </c>
      <c r="P421" s="468">
        <f t="shared" si="54"/>
        <v>0</v>
      </c>
      <c r="Q421" s="468">
        <f t="shared" si="54"/>
        <v>0</v>
      </c>
      <c r="R421" s="468">
        <f t="shared" si="54"/>
        <v>140.69739999999999</v>
      </c>
      <c r="S421" s="468">
        <f t="shared" si="54"/>
        <v>0</v>
      </c>
      <c r="T421" s="468">
        <f t="shared" si="54"/>
        <v>0</v>
      </c>
    </row>
    <row r="422" spans="1:20">
      <c r="A422" s="422"/>
      <c r="B422" s="424" t="s">
        <v>1596</v>
      </c>
      <c r="C422" s="469">
        <f>('[4]Bieu 57'!D422)/1000000</f>
        <v>150</v>
      </c>
      <c r="D422" s="469">
        <f>('[4]Bieu 57'!I422)/1000000</f>
        <v>140.69739999999999</v>
      </c>
      <c r="E422" s="467"/>
      <c r="F422" s="467"/>
      <c r="G422" s="467"/>
      <c r="H422" s="467"/>
      <c r="I422" s="467"/>
      <c r="J422" s="467"/>
      <c r="K422" s="467"/>
      <c r="L422" s="467"/>
      <c r="M422" s="467"/>
      <c r="N422" s="467"/>
      <c r="O422" s="467"/>
      <c r="P422" s="467"/>
      <c r="Q422" s="467"/>
      <c r="R422" s="345">
        <f t="shared" si="52"/>
        <v>140.69739999999999</v>
      </c>
      <c r="S422" s="467"/>
      <c r="T422" s="467"/>
    </row>
    <row r="423" spans="1:20" s="421" customFormat="1" ht="13.5">
      <c r="A423" s="438">
        <v>4</v>
      </c>
      <c r="B423" s="439" t="s">
        <v>1610</v>
      </c>
      <c r="C423" s="468">
        <f t="shared" ref="C423:T423" si="55">SUM(C424:C426)</f>
        <v>980</v>
      </c>
      <c r="D423" s="468">
        <f t="shared" si="55"/>
        <v>976.51379999999995</v>
      </c>
      <c r="E423" s="468">
        <f t="shared" si="55"/>
        <v>0</v>
      </c>
      <c r="F423" s="468">
        <f t="shared" si="55"/>
        <v>0</v>
      </c>
      <c r="G423" s="468">
        <f t="shared" si="55"/>
        <v>0</v>
      </c>
      <c r="H423" s="468">
        <f t="shared" si="55"/>
        <v>0</v>
      </c>
      <c r="I423" s="468">
        <f t="shared" si="55"/>
        <v>0</v>
      </c>
      <c r="J423" s="468">
        <f t="shared" si="55"/>
        <v>0</v>
      </c>
      <c r="K423" s="468">
        <f t="shared" si="55"/>
        <v>0</v>
      </c>
      <c r="L423" s="468">
        <f t="shared" si="55"/>
        <v>0</v>
      </c>
      <c r="M423" s="468">
        <f t="shared" si="55"/>
        <v>0</v>
      </c>
      <c r="N423" s="468">
        <f t="shared" si="55"/>
        <v>0</v>
      </c>
      <c r="O423" s="468">
        <f t="shared" si="55"/>
        <v>0</v>
      </c>
      <c r="P423" s="468">
        <f t="shared" si="55"/>
        <v>0</v>
      </c>
      <c r="Q423" s="468">
        <f t="shared" si="55"/>
        <v>0</v>
      </c>
      <c r="R423" s="468">
        <f t="shared" si="55"/>
        <v>976.51379999999995</v>
      </c>
      <c r="S423" s="468">
        <f t="shared" si="55"/>
        <v>0</v>
      </c>
      <c r="T423" s="468">
        <f t="shared" si="55"/>
        <v>0</v>
      </c>
    </row>
    <row r="424" spans="1:20">
      <c r="A424" s="422"/>
      <c r="B424" s="424" t="s">
        <v>1596</v>
      </c>
      <c r="C424" s="469">
        <f>('[4]Bieu 57'!D424)/1000000</f>
        <v>780</v>
      </c>
      <c r="D424" s="469">
        <f>('[4]Bieu 57'!I424)/1000000</f>
        <v>779.96379999999999</v>
      </c>
      <c r="E424" s="467"/>
      <c r="F424" s="467"/>
      <c r="G424" s="467"/>
      <c r="H424" s="467"/>
      <c r="I424" s="467"/>
      <c r="J424" s="467"/>
      <c r="K424" s="467"/>
      <c r="L424" s="467"/>
      <c r="M424" s="467"/>
      <c r="N424" s="467"/>
      <c r="O424" s="467"/>
      <c r="P424" s="467"/>
      <c r="Q424" s="467"/>
      <c r="R424" s="345">
        <f t="shared" si="52"/>
        <v>779.96379999999999</v>
      </c>
      <c r="S424" s="467"/>
      <c r="T424" s="467"/>
    </row>
    <row r="425" spans="1:20">
      <c r="A425" s="422"/>
      <c r="B425" s="424" t="s">
        <v>1604</v>
      </c>
      <c r="C425" s="469">
        <f>('[4]Bieu 57'!D425)/1000000</f>
        <v>40</v>
      </c>
      <c r="D425" s="469">
        <f>('[4]Bieu 57'!I425)/1000000</f>
        <v>40</v>
      </c>
      <c r="E425" s="467"/>
      <c r="F425" s="467"/>
      <c r="G425" s="467"/>
      <c r="H425" s="467"/>
      <c r="I425" s="467"/>
      <c r="J425" s="467"/>
      <c r="K425" s="467"/>
      <c r="L425" s="467"/>
      <c r="M425" s="467"/>
      <c r="N425" s="467"/>
      <c r="O425" s="467"/>
      <c r="P425" s="467"/>
      <c r="Q425" s="467"/>
      <c r="R425" s="345">
        <f t="shared" si="52"/>
        <v>40</v>
      </c>
      <c r="S425" s="467"/>
      <c r="T425" s="467"/>
    </row>
    <row r="426" spans="1:20">
      <c r="A426" s="422"/>
      <c r="B426" s="424" t="s">
        <v>1611</v>
      </c>
      <c r="C426" s="469">
        <f>('[4]Bieu 57'!D426)/1000000</f>
        <v>160</v>
      </c>
      <c r="D426" s="469">
        <f>('[4]Bieu 57'!I426)/1000000</f>
        <v>156.55000000000001</v>
      </c>
      <c r="E426" s="467"/>
      <c r="F426" s="467"/>
      <c r="G426" s="467"/>
      <c r="H426" s="467"/>
      <c r="I426" s="467"/>
      <c r="J426" s="467"/>
      <c r="K426" s="467"/>
      <c r="L426" s="467"/>
      <c r="M426" s="467"/>
      <c r="N426" s="467"/>
      <c r="O426" s="467"/>
      <c r="P426" s="467"/>
      <c r="Q426" s="467"/>
      <c r="R426" s="345">
        <f t="shared" si="52"/>
        <v>156.55000000000001</v>
      </c>
      <c r="S426" s="467"/>
      <c r="T426" s="467"/>
    </row>
    <row r="427" spans="1:20" s="443" customFormat="1" ht="13.5">
      <c r="A427" s="438">
        <v>5</v>
      </c>
      <c r="B427" s="439" t="s">
        <v>1612</v>
      </c>
      <c r="C427" s="469">
        <f>('[4]Bieu 57'!D427)/1000000</f>
        <v>375</v>
      </c>
      <c r="D427" s="469">
        <f>('[4]Bieu 57'!I427)/1000000</f>
        <v>375</v>
      </c>
      <c r="E427" s="473"/>
      <c r="F427" s="473"/>
      <c r="G427" s="473"/>
      <c r="H427" s="473"/>
      <c r="I427" s="473"/>
      <c r="J427" s="473"/>
      <c r="K427" s="473"/>
      <c r="L427" s="473"/>
      <c r="M427" s="473"/>
      <c r="N427" s="473"/>
      <c r="O427" s="473"/>
      <c r="P427" s="473"/>
      <c r="Q427" s="473"/>
      <c r="R427" s="470">
        <f t="shared" si="52"/>
        <v>375</v>
      </c>
      <c r="S427" s="473"/>
      <c r="T427" s="473"/>
    </row>
    <row r="428" spans="1:20" s="443" customFormat="1" ht="13.5">
      <c r="A428" s="438">
        <v>6</v>
      </c>
      <c r="B428" s="439" t="s">
        <v>1613</v>
      </c>
      <c r="C428" s="472">
        <f>C429</f>
        <v>130</v>
      </c>
      <c r="D428" s="472">
        <f t="shared" ref="D428:T428" si="56">D429</f>
        <v>129.9085</v>
      </c>
      <c r="E428" s="472">
        <f t="shared" si="56"/>
        <v>0</v>
      </c>
      <c r="F428" s="472">
        <f t="shared" si="56"/>
        <v>0</v>
      </c>
      <c r="G428" s="472">
        <f t="shared" si="56"/>
        <v>0</v>
      </c>
      <c r="H428" s="472">
        <f t="shared" si="56"/>
        <v>0</v>
      </c>
      <c r="I428" s="472">
        <f t="shared" si="56"/>
        <v>0</v>
      </c>
      <c r="J428" s="472">
        <f t="shared" si="56"/>
        <v>0</v>
      </c>
      <c r="K428" s="472">
        <f t="shared" si="56"/>
        <v>0</v>
      </c>
      <c r="L428" s="472">
        <f t="shared" si="56"/>
        <v>0</v>
      </c>
      <c r="M428" s="472">
        <f t="shared" si="56"/>
        <v>0</v>
      </c>
      <c r="N428" s="472">
        <f t="shared" si="56"/>
        <v>0</v>
      </c>
      <c r="O428" s="472">
        <f t="shared" si="56"/>
        <v>0</v>
      </c>
      <c r="P428" s="472">
        <f t="shared" si="56"/>
        <v>0</v>
      </c>
      <c r="Q428" s="472">
        <f t="shared" si="56"/>
        <v>0</v>
      </c>
      <c r="R428" s="472">
        <f t="shared" si="56"/>
        <v>129.9085</v>
      </c>
      <c r="S428" s="472">
        <f t="shared" si="56"/>
        <v>0</v>
      </c>
      <c r="T428" s="472">
        <f t="shared" si="56"/>
        <v>0</v>
      </c>
    </row>
    <row r="429" spans="1:20">
      <c r="A429" s="422"/>
      <c r="B429" s="424" t="s">
        <v>1596</v>
      </c>
      <c r="C429" s="469">
        <f>('[4]Bieu 57'!D429)/1000000</f>
        <v>130</v>
      </c>
      <c r="D429" s="469">
        <f>('[4]Bieu 57'!I429)/1000000</f>
        <v>129.9085</v>
      </c>
      <c r="E429" s="467"/>
      <c r="F429" s="467"/>
      <c r="G429" s="467"/>
      <c r="H429" s="467"/>
      <c r="I429" s="467"/>
      <c r="J429" s="467"/>
      <c r="K429" s="467"/>
      <c r="L429" s="467"/>
      <c r="M429" s="467"/>
      <c r="N429" s="467"/>
      <c r="O429" s="467"/>
      <c r="P429" s="467"/>
      <c r="Q429" s="467"/>
      <c r="R429" s="345">
        <f t="shared" si="52"/>
        <v>129.9085</v>
      </c>
      <c r="S429" s="467"/>
      <c r="T429" s="467"/>
    </row>
    <row r="430" spans="1:20" s="443" customFormat="1" ht="13.5">
      <c r="A430" s="438">
        <v>7</v>
      </c>
      <c r="B430" s="439" t="s">
        <v>1614</v>
      </c>
      <c r="C430" s="472">
        <f>C431</f>
        <v>100</v>
      </c>
      <c r="D430" s="472">
        <f t="shared" ref="D430:T430" si="57">D431</f>
        <v>99.754900000000006</v>
      </c>
      <c r="E430" s="472">
        <f t="shared" si="57"/>
        <v>0</v>
      </c>
      <c r="F430" s="472">
        <f t="shared" si="57"/>
        <v>0</v>
      </c>
      <c r="G430" s="472">
        <f t="shared" si="57"/>
        <v>0</v>
      </c>
      <c r="H430" s="472">
        <f t="shared" si="57"/>
        <v>0</v>
      </c>
      <c r="I430" s="472">
        <f t="shared" si="57"/>
        <v>0</v>
      </c>
      <c r="J430" s="472">
        <f t="shared" si="57"/>
        <v>0</v>
      </c>
      <c r="K430" s="472">
        <f t="shared" si="57"/>
        <v>0</v>
      </c>
      <c r="L430" s="472">
        <f t="shared" si="57"/>
        <v>0</v>
      </c>
      <c r="M430" s="472">
        <f t="shared" si="57"/>
        <v>0</v>
      </c>
      <c r="N430" s="472">
        <f t="shared" si="57"/>
        <v>0</v>
      </c>
      <c r="O430" s="472">
        <f t="shared" si="57"/>
        <v>0</v>
      </c>
      <c r="P430" s="472">
        <f t="shared" si="57"/>
        <v>0</v>
      </c>
      <c r="Q430" s="472">
        <f t="shared" si="57"/>
        <v>0</v>
      </c>
      <c r="R430" s="472">
        <f t="shared" si="57"/>
        <v>99.754900000000006</v>
      </c>
      <c r="S430" s="472">
        <f t="shared" si="57"/>
        <v>0</v>
      </c>
      <c r="T430" s="472">
        <f t="shared" si="57"/>
        <v>0</v>
      </c>
    </row>
    <row r="431" spans="1:20">
      <c r="A431" s="422"/>
      <c r="B431" s="424" t="s">
        <v>1596</v>
      </c>
      <c r="C431" s="469">
        <f>('[4]Bieu 57'!D431)/1000000</f>
        <v>100</v>
      </c>
      <c r="D431" s="469">
        <f>('[4]Bieu 57'!I431)/1000000</f>
        <v>99.754900000000006</v>
      </c>
      <c r="E431" s="467"/>
      <c r="F431" s="467"/>
      <c r="G431" s="467"/>
      <c r="H431" s="467"/>
      <c r="I431" s="467"/>
      <c r="J431" s="467"/>
      <c r="K431" s="467"/>
      <c r="L431" s="467"/>
      <c r="M431" s="467"/>
      <c r="N431" s="467"/>
      <c r="O431" s="467"/>
      <c r="P431" s="467"/>
      <c r="Q431" s="467"/>
      <c r="R431" s="345">
        <f t="shared" si="52"/>
        <v>99.754900000000006</v>
      </c>
      <c r="S431" s="467"/>
      <c r="T431" s="467"/>
    </row>
    <row r="432" spans="1:20" s="443" customFormat="1" ht="13.5">
      <c r="A432" s="438">
        <v>8</v>
      </c>
      <c r="B432" s="439" t="s">
        <v>1615</v>
      </c>
      <c r="C432" s="472">
        <f>C433</f>
        <v>600</v>
      </c>
      <c r="D432" s="472">
        <f t="shared" ref="D432:T432" si="58">D433</f>
        <v>563.9</v>
      </c>
      <c r="E432" s="472">
        <f t="shared" si="58"/>
        <v>0</v>
      </c>
      <c r="F432" s="472">
        <f t="shared" si="58"/>
        <v>0</v>
      </c>
      <c r="G432" s="472">
        <f t="shared" si="58"/>
        <v>0</v>
      </c>
      <c r="H432" s="472">
        <f t="shared" si="58"/>
        <v>0</v>
      </c>
      <c r="I432" s="472">
        <f t="shared" si="58"/>
        <v>0</v>
      </c>
      <c r="J432" s="472">
        <f t="shared" si="58"/>
        <v>0</v>
      </c>
      <c r="K432" s="472">
        <f t="shared" si="58"/>
        <v>0</v>
      </c>
      <c r="L432" s="472">
        <f t="shared" si="58"/>
        <v>0</v>
      </c>
      <c r="M432" s="472">
        <f t="shared" si="58"/>
        <v>0</v>
      </c>
      <c r="N432" s="472">
        <f t="shared" si="58"/>
        <v>0</v>
      </c>
      <c r="O432" s="472">
        <f t="shared" si="58"/>
        <v>0</v>
      </c>
      <c r="P432" s="472">
        <f t="shared" si="58"/>
        <v>0</v>
      </c>
      <c r="Q432" s="472">
        <f t="shared" si="58"/>
        <v>0</v>
      </c>
      <c r="R432" s="472">
        <f t="shared" si="58"/>
        <v>563.9</v>
      </c>
      <c r="S432" s="472">
        <f t="shared" si="58"/>
        <v>0</v>
      </c>
      <c r="T432" s="472">
        <f t="shared" si="58"/>
        <v>0</v>
      </c>
    </row>
    <row r="433" spans="1:20">
      <c r="A433" s="422"/>
      <c r="B433" s="424" t="s">
        <v>1596</v>
      </c>
      <c r="C433" s="469">
        <f>('[4]Bieu 57'!D433)/1000000</f>
        <v>600</v>
      </c>
      <c r="D433" s="469">
        <f>('[4]Bieu 57'!I433)/1000000</f>
        <v>563.9</v>
      </c>
      <c r="E433" s="467"/>
      <c r="F433" s="467"/>
      <c r="G433" s="467"/>
      <c r="H433" s="467"/>
      <c r="I433" s="467"/>
      <c r="J433" s="467"/>
      <c r="K433" s="467"/>
      <c r="L433" s="467"/>
      <c r="M433" s="467"/>
      <c r="N433" s="467"/>
      <c r="O433" s="467"/>
      <c r="P433" s="467"/>
      <c r="Q433" s="467"/>
      <c r="R433" s="345">
        <f t="shared" si="52"/>
        <v>563.9</v>
      </c>
      <c r="S433" s="467"/>
      <c r="T433" s="467"/>
    </row>
    <row r="434" spans="1:20" s="443" customFormat="1" ht="13.5">
      <c r="A434" s="438">
        <v>9</v>
      </c>
      <c r="B434" s="439" t="s">
        <v>1616</v>
      </c>
      <c r="C434" s="469">
        <f>('[4]Bieu 57'!D434)/1000000</f>
        <v>50</v>
      </c>
      <c r="D434" s="469">
        <f>('[4]Bieu 57'!I434)/1000000</f>
        <v>30.284500000000001</v>
      </c>
      <c r="E434" s="473"/>
      <c r="F434" s="473"/>
      <c r="G434" s="473"/>
      <c r="H434" s="473"/>
      <c r="I434" s="473"/>
      <c r="J434" s="473"/>
      <c r="K434" s="473"/>
      <c r="L434" s="473"/>
      <c r="M434" s="473"/>
      <c r="N434" s="473"/>
      <c r="O434" s="473"/>
      <c r="P434" s="473"/>
      <c r="Q434" s="473"/>
      <c r="R434" s="470">
        <f t="shared" si="52"/>
        <v>30.284500000000001</v>
      </c>
      <c r="S434" s="473"/>
      <c r="T434" s="473"/>
    </row>
    <row r="435" spans="1:20" s="443" customFormat="1" ht="13.5">
      <c r="A435" s="438">
        <v>10</v>
      </c>
      <c r="B435" s="439" t="s">
        <v>1617</v>
      </c>
      <c r="C435" s="469">
        <f>('[4]Bieu 57'!D435)/1000000</f>
        <v>35</v>
      </c>
      <c r="D435" s="469">
        <f>('[4]Bieu 57'!I435)/1000000</f>
        <v>28.63</v>
      </c>
      <c r="E435" s="473"/>
      <c r="F435" s="473"/>
      <c r="G435" s="473"/>
      <c r="H435" s="473"/>
      <c r="I435" s="473"/>
      <c r="J435" s="473"/>
      <c r="K435" s="473"/>
      <c r="L435" s="473"/>
      <c r="M435" s="473"/>
      <c r="N435" s="473"/>
      <c r="O435" s="473"/>
      <c r="P435" s="473"/>
      <c r="Q435" s="473"/>
      <c r="R435" s="345">
        <f t="shared" si="52"/>
        <v>28.63</v>
      </c>
      <c r="S435" s="473"/>
      <c r="T435" s="473"/>
    </row>
    <row r="436" spans="1:20" s="443" customFormat="1" ht="27">
      <c r="A436" s="438">
        <v>11</v>
      </c>
      <c r="B436" s="439" t="s">
        <v>1618</v>
      </c>
      <c r="C436" s="469">
        <v>1799</v>
      </c>
      <c r="D436" s="474">
        <f>SUM(D437:D439)</f>
        <v>1176.1840000000002</v>
      </c>
      <c r="E436" s="474">
        <f t="shared" ref="E436:S436" si="59">SUM(E437:E439)</f>
        <v>0</v>
      </c>
      <c r="F436" s="474">
        <f t="shared" si="59"/>
        <v>0</v>
      </c>
      <c r="G436" s="474">
        <f t="shared" si="59"/>
        <v>0</v>
      </c>
      <c r="H436" s="474">
        <f t="shared" si="59"/>
        <v>0</v>
      </c>
      <c r="I436" s="474">
        <f t="shared" si="59"/>
        <v>0</v>
      </c>
      <c r="J436" s="474">
        <f t="shared" si="59"/>
        <v>0</v>
      </c>
      <c r="K436" s="474">
        <f t="shared" si="59"/>
        <v>0</v>
      </c>
      <c r="L436" s="474">
        <f t="shared" si="59"/>
        <v>0</v>
      </c>
      <c r="M436" s="474">
        <f t="shared" si="59"/>
        <v>0</v>
      </c>
      <c r="N436" s="474">
        <f t="shared" si="59"/>
        <v>0</v>
      </c>
      <c r="O436" s="474">
        <f t="shared" si="59"/>
        <v>0</v>
      </c>
      <c r="P436" s="474">
        <f t="shared" si="59"/>
        <v>0</v>
      </c>
      <c r="Q436" s="474">
        <f t="shared" si="59"/>
        <v>0</v>
      </c>
      <c r="R436" s="474">
        <f t="shared" si="59"/>
        <v>1176.1840000000002</v>
      </c>
      <c r="S436" s="474">
        <f t="shared" si="59"/>
        <v>0</v>
      </c>
      <c r="T436" s="473"/>
    </row>
    <row r="437" spans="1:20">
      <c r="A437" s="460"/>
      <c r="B437" s="461" t="s">
        <v>1594</v>
      </c>
      <c r="C437" s="471"/>
      <c r="D437" s="469">
        <f>('[4]Bieu 57'!I437)/1000000</f>
        <v>316.7</v>
      </c>
      <c r="E437" s="467"/>
      <c r="F437" s="467"/>
      <c r="G437" s="467"/>
      <c r="H437" s="467"/>
      <c r="I437" s="467"/>
      <c r="J437" s="467"/>
      <c r="K437" s="467"/>
      <c r="L437" s="467"/>
      <c r="M437" s="467"/>
      <c r="N437" s="467"/>
      <c r="O437" s="467"/>
      <c r="P437" s="467"/>
      <c r="Q437" s="467"/>
      <c r="R437" s="345">
        <f t="shared" si="52"/>
        <v>316.7</v>
      </c>
      <c r="S437" s="467"/>
      <c r="T437" s="467"/>
    </row>
    <row r="438" spans="1:20">
      <c r="A438" s="460"/>
      <c r="B438" s="461" t="s">
        <v>1591</v>
      </c>
      <c r="C438" s="471"/>
      <c r="D438" s="469">
        <f>('[4]Bieu 57'!I438)/1000000</f>
        <v>270</v>
      </c>
      <c r="E438" s="467"/>
      <c r="F438" s="467"/>
      <c r="G438" s="467"/>
      <c r="H438" s="467"/>
      <c r="I438" s="467"/>
      <c r="J438" s="467"/>
      <c r="K438" s="467"/>
      <c r="L438" s="467"/>
      <c r="M438" s="467"/>
      <c r="N438" s="467"/>
      <c r="O438" s="467"/>
      <c r="P438" s="467"/>
      <c r="Q438" s="467"/>
      <c r="R438" s="345">
        <f t="shared" si="52"/>
        <v>270</v>
      </c>
      <c r="S438" s="467"/>
      <c r="T438" s="467"/>
    </row>
    <row r="439" spans="1:20">
      <c r="A439" s="460"/>
      <c r="B439" s="461" t="s">
        <v>1595</v>
      </c>
      <c r="C439" s="471"/>
      <c r="D439" s="469">
        <f>('[4]Bieu 57'!I439)/1000000</f>
        <v>589.48400000000004</v>
      </c>
      <c r="E439" s="467"/>
      <c r="F439" s="467"/>
      <c r="G439" s="467"/>
      <c r="H439" s="467"/>
      <c r="I439" s="467"/>
      <c r="J439" s="467"/>
      <c r="K439" s="467"/>
      <c r="L439" s="467"/>
      <c r="M439" s="467"/>
      <c r="N439" s="467"/>
      <c r="O439" s="467"/>
      <c r="P439" s="467"/>
      <c r="Q439" s="467"/>
      <c r="R439" s="345">
        <f t="shared" si="52"/>
        <v>589.48400000000004</v>
      </c>
      <c r="S439" s="467"/>
      <c r="T439" s="467"/>
    </row>
    <row r="440" spans="1:20" s="443" customFormat="1" ht="13.5">
      <c r="A440" s="438" t="s">
        <v>1619</v>
      </c>
      <c r="B440" s="439" t="s">
        <v>1620</v>
      </c>
      <c r="C440" s="472">
        <f>C441</f>
        <v>2468.4743899999999</v>
      </c>
      <c r="D440" s="472">
        <f t="shared" ref="D440:T440" si="60">D441</f>
        <v>1937.441358</v>
      </c>
      <c r="E440" s="472">
        <f t="shared" si="60"/>
        <v>0</v>
      </c>
      <c r="F440" s="472">
        <f t="shared" si="60"/>
        <v>0</v>
      </c>
      <c r="G440" s="472">
        <f t="shared" si="60"/>
        <v>0</v>
      </c>
      <c r="H440" s="472">
        <f t="shared" si="60"/>
        <v>0</v>
      </c>
      <c r="I440" s="472">
        <f t="shared" si="60"/>
        <v>0</v>
      </c>
      <c r="J440" s="472">
        <f t="shared" si="60"/>
        <v>0</v>
      </c>
      <c r="K440" s="472">
        <f t="shared" si="60"/>
        <v>0</v>
      </c>
      <c r="L440" s="472">
        <f t="shared" si="60"/>
        <v>0</v>
      </c>
      <c r="M440" s="472">
        <f t="shared" si="60"/>
        <v>0</v>
      </c>
      <c r="N440" s="472">
        <f t="shared" si="60"/>
        <v>0</v>
      </c>
      <c r="O440" s="472">
        <f t="shared" si="60"/>
        <v>0</v>
      </c>
      <c r="P440" s="472">
        <f t="shared" si="60"/>
        <v>0</v>
      </c>
      <c r="Q440" s="472">
        <f t="shared" si="60"/>
        <v>0</v>
      </c>
      <c r="R440" s="472">
        <f t="shared" si="60"/>
        <v>1937.441358</v>
      </c>
      <c r="S440" s="472">
        <f t="shared" si="60"/>
        <v>0</v>
      </c>
      <c r="T440" s="472">
        <f t="shared" si="60"/>
        <v>0</v>
      </c>
    </row>
    <row r="441" spans="1:20">
      <c r="A441" s="462"/>
      <c r="B441" s="463" t="s">
        <v>1621</v>
      </c>
      <c r="C441" s="469">
        <f>('[4]Bieu 57'!D441)/1000000</f>
        <v>2468.4743899999999</v>
      </c>
      <c r="D441" s="469">
        <f>('[4]Bieu 57'!I441)/1000000</f>
        <v>1937.441358</v>
      </c>
      <c r="E441" s="467"/>
      <c r="F441" s="467"/>
      <c r="G441" s="467"/>
      <c r="H441" s="467"/>
      <c r="I441" s="467"/>
      <c r="J441" s="467"/>
      <c r="K441" s="467"/>
      <c r="L441" s="467"/>
      <c r="M441" s="467"/>
      <c r="N441" s="467"/>
      <c r="O441" s="467"/>
      <c r="P441" s="467"/>
      <c r="Q441" s="467"/>
      <c r="R441" s="345">
        <f t="shared" si="52"/>
        <v>1937.441358</v>
      </c>
      <c r="S441" s="467"/>
      <c r="T441" s="467"/>
    </row>
    <row r="442" spans="1:20" s="421" customFormat="1">
      <c r="A442" s="464" t="s">
        <v>1622</v>
      </c>
      <c r="B442" s="465" t="s">
        <v>1623</v>
      </c>
      <c r="C442" s="468">
        <f>SUM(C443:C444)</f>
        <v>86</v>
      </c>
      <c r="D442" s="468">
        <f t="shared" ref="D442:T442" si="61">SUM(D443:D444)</f>
        <v>86</v>
      </c>
      <c r="E442" s="468">
        <f t="shared" si="61"/>
        <v>0</v>
      </c>
      <c r="F442" s="468">
        <f t="shared" si="61"/>
        <v>0</v>
      </c>
      <c r="G442" s="468">
        <f t="shared" si="61"/>
        <v>0</v>
      </c>
      <c r="H442" s="468">
        <f t="shared" si="61"/>
        <v>0</v>
      </c>
      <c r="I442" s="468">
        <f t="shared" si="61"/>
        <v>0</v>
      </c>
      <c r="J442" s="468">
        <f t="shared" si="61"/>
        <v>0</v>
      </c>
      <c r="K442" s="468">
        <f t="shared" si="61"/>
        <v>0</v>
      </c>
      <c r="L442" s="468">
        <f t="shared" si="61"/>
        <v>0</v>
      </c>
      <c r="M442" s="468">
        <f t="shared" si="61"/>
        <v>0</v>
      </c>
      <c r="N442" s="468">
        <f t="shared" si="61"/>
        <v>0</v>
      </c>
      <c r="O442" s="468">
        <f t="shared" si="61"/>
        <v>0</v>
      </c>
      <c r="P442" s="468">
        <f t="shared" si="61"/>
        <v>0</v>
      </c>
      <c r="Q442" s="468">
        <f t="shared" si="61"/>
        <v>0</v>
      </c>
      <c r="R442" s="468">
        <f t="shared" si="61"/>
        <v>86</v>
      </c>
      <c r="S442" s="468">
        <f t="shared" si="61"/>
        <v>0</v>
      </c>
      <c r="T442" s="468">
        <f t="shared" si="61"/>
        <v>0</v>
      </c>
    </row>
    <row r="443" spans="1:20">
      <c r="A443" s="462"/>
      <c r="B443" s="466" t="s">
        <v>1624</v>
      </c>
      <c r="C443" s="469">
        <f>('[4]Bieu 57'!D443)/1000000</f>
        <v>70</v>
      </c>
      <c r="D443" s="469">
        <f>('[4]Bieu 57'!I443)/1000000</f>
        <v>70</v>
      </c>
      <c r="E443" s="467"/>
      <c r="F443" s="467"/>
      <c r="G443" s="467"/>
      <c r="H443" s="467"/>
      <c r="I443" s="467"/>
      <c r="J443" s="467"/>
      <c r="K443" s="467"/>
      <c r="L443" s="467"/>
      <c r="M443" s="467"/>
      <c r="N443" s="467"/>
      <c r="O443" s="467"/>
      <c r="P443" s="467"/>
      <c r="Q443" s="467"/>
      <c r="R443" s="345">
        <f t="shared" si="52"/>
        <v>70</v>
      </c>
      <c r="S443" s="467"/>
      <c r="T443" s="467"/>
    </row>
    <row r="444" spans="1:20">
      <c r="A444" s="462"/>
      <c r="B444" s="463" t="s">
        <v>1625</v>
      </c>
      <c r="C444" s="469">
        <f>('[4]Bieu 57'!D444)/1000000</f>
        <v>16</v>
      </c>
      <c r="D444" s="469">
        <f>('[4]Bieu 57'!I444)/1000000</f>
        <v>16</v>
      </c>
      <c r="E444" s="467"/>
      <c r="F444" s="467"/>
      <c r="G444" s="467"/>
      <c r="H444" s="467"/>
      <c r="I444" s="467"/>
      <c r="J444" s="467"/>
      <c r="K444" s="467"/>
      <c r="L444" s="467"/>
      <c r="M444" s="467"/>
      <c r="N444" s="467"/>
      <c r="O444" s="467"/>
      <c r="P444" s="467"/>
      <c r="Q444" s="467"/>
      <c r="R444" s="345">
        <f t="shared" si="52"/>
        <v>16</v>
      </c>
      <c r="S444" s="467"/>
      <c r="T444" s="467"/>
    </row>
    <row r="445" spans="1:20">
      <c r="A445" s="6"/>
    </row>
  </sheetData>
  <mergeCells count="21">
    <mergeCell ref="O5:P5"/>
    <mergeCell ref="E5:E6"/>
    <mergeCell ref="K5:K6"/>
    <mergeCell ref="S5:S6"/>
    <mergeCell ref="N5:N6"/>
    <mergeCell ref="G5:G6"/>
    <mergeCell ref="D5:D6"/>
    <mergeCell ref="Q5:Q6"/>
    <mergeCell ref="H5:H6"/>
    <mergeCell ref="I5:I6"/>
    <mergeCell ref="L5:L6"/>
    <mergeCell ref="A2:T2"/>
    <mergeCell ref="A3:T3"/>
    <mergeCell ref="A5:A6"/>
    <mergeCell ref="B5:B6"/>
    <mergeCell ref="C5:C6"/>
    <mergeCell ref="R5:R6"/>
    <mergeCell ref="J5:J6"/>
    <mergeCell ref="M5:M6"/>
    <mergeCell ref="F5:F6"/>
    <mergeCell ref="T5:T6"/>
  </mergeCells>
  <pageMargins left="0.70866141732283472" right="0.70866141732283472" top="0.74803149606299213" bottom="0.74803149606299213" header="0.31496062992125984" footer="0.31496062992125984"/>
  <pageSetup paperSize="8" scale="90"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M27"/>
  <sheetViews>
    <sheetView workbookViewId="0">
      <pane xSplit="2" ySplit="9" topLeftCell="S10" activePane="bottomRight" state="frozen"/>
      <selection pane="topRight" activeCell="C1" sqref="C1"/>
      <selection pane="bottomLeft" activeCell="A10" sqref="A10"/>
      <selection pane="bottomRight" activeCell="Y21" sqref="Y21"/>
    </sheetView>
  </sheetViews>
  <sheetFormatPr defaultRowHeight="15"/>
  <cols>
    <col min="1" max="1" width="5.875" style="1" customWidth="1"/>
    <col min="2" max="2" width="20.25" style="1" customWidth="1"/>
    <col min="3" max="5" width="9" style="1"/>
    <col min="6" max="7" width="9" style="1" customWidth="1"/>
    <col min="8" max="8" width="9" style="1"/>
    <col min="9" max="10" width="9" style="1" customWidth="1"/>
    <col min="11" max="16384" width="9" style="1"/>
  </cols>
  <sheetData>
    <row r="1" spans="1:39">
      <c r="AK1" s="2" t="s">
        <v>166</v>
      </c>
    </row>
    <row r="2" spans="1:39">
      <c r="A2" s="1200" t="s">
        <v>236</v>
      </c>
      <c r="B2" s="1200"/>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row>
    <row r="3" spans="1:39">
      <c r="A3" s="1200"/>
      <c r="B3" s="1200"/>
      <c r="C3" s="1200"/>
      <c r="D3" s="1200"/>
      <c r="E3" s="1200"/>
      <c r="F3" s="1200"/>
      <c r="G3" s="1200"/>
      <c r="H3" s="1200"/>
      <c r="I3" s="1200"/>
      <c r="J3" s="1200"/>
      <c r="K3" s="1200"/>
      <c r="L3" s="1200"/>
      <c r="M3" s="1200"/>
      <c r="N3" s="1200"/>
      <c r="O3" s="1200"/>
      <c r="P3" s="1200"/>
      <c r="Q3" s="1200"/>
      <c r="R3" s="1200"/>
      <c r="S3" s="1200"/>
      <c r="T3" s="1200"/>
      <c r="U3" s="1200"/>
      <c r="V3" s="1200"/>
      <c r="W3" s="1200"/>
      <c r="X3" s="1200"/>
      <c r="Y3" s="1200"/>
      <c r="Z3" s="1200"/>
      <c r="AA3" s="1200"/>
      <c r="AB3" s="1200"/>
      <c r="AC3" s="1200"/>
      <c r="AD3" s="1200"/>
      <c r="AE3" s="1200"/>
      <c r="AF3" s="1200"/>
      <c r="AG3" s="1200"/>
      <c r="AH3" s="1200"/>
      <c r="AI3" s="1200"/>
      <c r="AJ3" s="1200"/>
      <c r="AK3" s="1200"/>
      <c r="AL3" s="1200"/>
      <c r="AM3" s="1200"/>
    </row>
    <row r="4" spans="1:39">
      <c r="C4" s="1">
        <f>C10-I10</f>
        <v>2920134</v>
      </c>
      <c r="Y4" s="12">
        <f>Y10+AA10+AD10+AF10+P10</f>
        <v>222738</v>
      </c>
      <c r="Z4" s="12">
        <f>Y4-V10</f>
        <v>0</v>
      </c>
      <c r="AK4" s="3" t="s">
        <v>2</v>
      </c>
    </row>
    <row r="5" spans="1:39">
      <c r="A5" s="1202" t="s">
        <v>3</v>
      </c>
      <c r="B5" s="1203" t="s">
        <v>167</v>
      </c>
      <c r="C5" s="1202" t="s">
        <v>168</v>
      </c>
      <c r="D5" s="1202"/>
      <c r="E5" s="1202"/>
      <c r="F5" s="1202"/>
      <c r="G5" s="1202"/>
      <c r="H5" s="1202"/>
      <c r="I5" s="1202"/>
      <c r="J5" s="240"/>
      <c r="K5" s="1202" t="s">
        <v>5</v>
      </c>
      <c r="L5" s="1202"/>
      <c r="M5" s="1202"/>
      <c r="N5" s="1202"/>
      <c r="O5" s="1202"/>
      <c r="P5" s="1202"/>
      <c r="Q5" s="1202"/>
      <c r="R5" s="1202"/>
      <c r="S5" s="1202"/>
      <c r="T5" s="1202"/>
      <c r="U5" s="1202"/>
      <c r="V5" s="1202"/>
      <c r="W5" s="1202"/>
      <c r="X5" s="1202"/>
      <c r="Y5" s="1202"/>
      <c r="Z5" s="1202"/>
      <c r="AA5" s="1202"/>
      <c r="AB5" s="1202"/>
      <c r="AC5" s="1202"/>
      <c r="AD5" s="1202"/>
      <c r="AE5" s="1202"/>
      <c r="AF5" s="1202"/>
      <c r="AG5" s="1202"/>
      <c r="AH5" s="1202"/>
      <c r="AI5" s="240"/>
      <c r="AJ5" s="240"/>
      <c r="AK5" s="1202" t="s">
        <v>52</v>
      </c>
      <c r="AL5" s="1202"/>
      <c r="AM5" s="1202"/>
    </row>
    <row r="6" spans="1:39">
      <c r="A6" s="1202"/>
      <c r="B6" s="1204"/>
      <c r="C6" s="1202" t="s">
        <v>153</v>
      </c>
      <c r="D6" s="1202" t="s">
        <v>30</v>
      </c>
      <c r="E6" s="1202" t="s">
        <v>31</v>
      </c>
      <c r="F6" s="240"/>
      <c r="G6" s="240"/>
      <c r="H6" s="1202" t="s">
        <v>253</v>
      </c>
      <c r="I6" s="1202" t="s">
        <v>55</v>
      </c>
      <c r="J6" s="240"/>
      <c r="K6" s="1202" t="s">
        <v>153</v>
      </c>
      <c r="L6" s="1202" t="s">
        <v>30</v>
      </c>
      <c r="M6" s="1202"/>
      <c r="N6" s="1202"/>
      <c r="O6" s="240"/>
      <c r="P6" s="240"/>
      <c r="Q6" s="240"/>
      <c r="R6" s="1202" t="s">
        <v>31</v>
      </c>
      <c r="S6" s="1202"/>
      <c r="T6" s="1202"/>
      <c r="U6" s="240"/>
      <c r="V6" s="240"/>
      <c r="W6" s="1202" t="s">
        <v>169</v>
      </c>
      <c r="X6" s="1202"/>
      <c r="Y6" s="1202"/>
      <c r="Z6" s="1202"/>
      <c r="AA6" s="1202"/>
      <c r="AB6" s="1202"/>
      <c r="AC6" s="1202"/>
      <c r="AD6" s="240"/>
      <c r="AE6" s="240"/>
      <c r="AF6" s="240"/>
      <c r="AG6" s="240"/>
      <c r="AH6" s="1202" t="s">
        <v>38</v>
      </c>
      <c r="AI6" s="1202" t="s">
        <v>1144</v>
      </c>
      <c r="AJ6" s="1202"/>
      <c r="AK6" s="1202" t="s">
        <v>153</v>
      </c>
      <c r="AL6" s="1202" t="s">
        <v>30</v>
      </c>
      <c r="AM6" s="1202" t="s">
        <v>31</v>
      </c>
    </row>
    <row r="7" spans="1:39">
      <c r="A7" s="1202"/>
      <c r="B7" s="1204"/>
      <c r="C7" s="1202"/>
      <c r="D7" s="1202"/>
      <c r="E7" s="1202"/>
      <c r="F7" s="240"/>
      <c r="G7" s="240"/>
      <c r="H7" s="1202"/>
      <c r="I7" s="1202"/>
      <c r="J7" s="240"/>
      <c r="K7" s="1202"/>
      <c r="L7" s="1202" t="s">
        <v>153</v>
      </c>
      <c r="M7" s="1202" t="s">
        <v>158</v>
      </c>
      <c r="N7" s="1202"/>
      <c r="O7" s="1202" t="s">
        <v>158</v>
      </c>
      <c r="P7" s="1202"/>
      <c r="Q7" s="1202"/>
      <c r="R7" s="1202" t="s">
        <v>153</v>
      </c>
      <c r="S7" s="1202" t="s">
        <v>158</v>
      </c>
      <c r="T7" s="1202"/>
      <c r="U7" s="240"/>
      <c r="V7" s="240"/>
      <c r="W7" s="1202" t="s">
        <v>153</v>
      </c>
      <c r="X7" s="1202" t="s">
        <v>158</v>
      </c>
      <c r="Y7" s="1202"/>
      <c r="Z7" s="1202"/>
      <c r="AA7" s="1202"/>
      <c r="AB7" s="1202"/>
      <c r="AC7" s="1202"/>
      <c r="AD7" s="240"/>
      <c r="AE7" s="240"/>
      <c r="AF7" s="240"/>
      <c r="AG7" s="240"/>
      <c r="AH7" s="1202"/>
      <c r="AI7" s="1202"/>
      <c r="AJ7" s="1202"/>
      <c r="AK7" s="1202"/>
      <c r="AL7" s="1202"/>
      <c r="AM7" s="1202"/>
    </row>
    <row r="8" spans="1:39" ht="51.75" customHeight="1">
      <c r="A8" s="1202"/>
      <c r="B8" s="1205"/>
      <c r="C8" s="1202"/>
      <c r="D8" s="1202"/>
      <c r="E8" s="1202"/>
      <c r="F8" s="240"/>
      <c r="G8" s="240"/>
      <c r="H8" s="1202"/>
      <c r="I8" s="1202"/>
      <c r="J8" s="240"/>
      <c r="K8" s="1202"/>
      <c r="L8" s="1202"/>
      <c r="M8" s="240" t="s">
        <v>170</v>
      </c>
      <c r="N8" s="240" t="s">
        <v>127</v>
      </c>
      <c r="O8" s="240" t="s">
        <v>1147</v>
      </c>
      <c r="P8" s="240" t="s">
        <v>1174</v>
      </c>
      <c r="Q8" s="240" t="s">
        <v>1148</v>
      </c>
      <c r="R8" s="1202"/>
      <c r="S8" s="240" t="s">
        <v>170</v>
      </c>
      <c r="T8" s="240" t="s">
        <v>171</v>
      </c>
      <c r="U8" s="240" t="s">
        <v>1177</v>
      </c>
      <c r="V8" s="240" t="s">
        <v>1176</v>
      </c>
      <c r="W8" s="1202"/>
      <c r="X8" s="240" t="s">
        <v>30</v>
      </c>
      <c r="Y8" s="240" t="s">
        <v>1175</v>
      </c>
      <c r="Z8" s="240" t="s">
        <v>1142</v>
      </c>
      <c r="AA8" s="240" t="s">
        <v>1175</v>
      </c>
      <c r="AB8" s="240" t="s">
        <v>1141</v>
      </c>
      <c r="AC8" s="240" t="s">
        <v>31</v>
      </c>
      <c r="AD8" s="240"/>
      <c r="AE8" s="240" t="s">
        <v>1142</v>
      </c>
      <c r="AF8" s="240"/>
      <c r="AG8" s="240" t="s">
        <v>1141</v>
      </c>
      <c r="AH8" s="1202"/>
      <c r="AI8" s="1202"/>
      <c r="AJ8" s="1202"/>
      <c r="AK8" s="1202"/>
      <c r="AL8" s="1202"/>
      <c r="AM8" s="1202"/>
    </row>
    <row r="9" spans="1:39" s="229" customFormat="1" ht="12.75">
      <c r="A9" s="13" t="s">
        <v>9</v>
      </c>
      <c r="B9" s="13" t="s">
        <v>10</v>
      </c>
      <c r="C9" s="13">
        <v>1</v>
      </c>
      <c r="D9" s="13">
        <v>2</v>
      </c>
      <c r="E9" s="13">
        <v>3</v>
      </c>
      <c r="F9" s="13"/>
      <c r="G9" s="13"/>
      <c r="H9" s="13">
        <v>4</v>
      </c>
      <c r="I9" s="13">
        <v>5</v>
      </c>
      <c r="J9" s="13"/>
      <c r="K9" s="13">
        <v>4</v>
      </c>
      <c r="L9" s="13">
        <v>5</v>
      </c>
      <c r="M9" s="13">
        <v>6</v>
      </c>
      <c r="N9" s="13">
        <v>7</v>
      </c>
      <c r="O9" s="13"/>
      <c r="P9" s="13"/>
      <c r="Q9" s="13"/>
      <c r="R9" s="13">
        <v>8</v>
      </c>
      <c r="S9" s="13">
        <v>9</v>
      </c>
      <c r="T9" s="13">
        <v>10</v>
      </c>
      <c r="U9" s="13"/>
      <c r="V9" s="13"/>
      <c r="W9" s="13">
        <v>11</v>
      </c>
      <c r="X9" s="13">
        <v>12</v>
      </c>
      <c r="Y9" s="13"/>
      <c r="Z9" s="13"/>
      <c r="AA9" s="13"/>
      <c r="AB9" s="13"/>
      <c r="AC9" s="13">
        <v>13</v>
      </c>
      <c r="AD9" s="13"/>
      <c r="AE9" s="13"/>
      <c r="AF9" s="13"/>
      <c r="AG9" s="13"/>
      <c r="AH9" s="13">
        <v>14</v>
      </c>
      <c r="AI9" s="13"/>
      <c r="AJ9" s="13"/>
      <c r="AK9" s="13" t="s">
        <v>172</v>
      </c>
      <c r="AL9" s="13" t="s">
        <v>173</v>
      </c>
      <c r="AM9" s="13">
        <v>17</v>
      </c>
    </row>
    <row r="10" spans="1:39" s="253" customFormat="1" ht="14.25">
      <c r="A10" s="249"/>
      <c r="B10" s="250" t="s">
        <v>154</v>
      </c>
      <c r="C10" s="251">
        <f>C11+C12+C13+C14+C15+C16+C17+C18+C19+C20</f>
        <v>2947224</v>
      </c>
      <c r="D10" s="251">
        <f t="shared" ref="D10:AI10" si="0">D11+D12+D13+D14+D15+D16+D17+D18+D19+D20</f>
        <v>218278</v>
      </c>
      <c r="E10" s="251">
        <f>E11+E12+E13+E14+E15+E16+E17+E18+E19+E20</f>
        <v>2670001</v>
      </c>
      <c r="F10" s="251">
        <f>F11+F12+F13+F14+F15+F16+F17+F18+F19+F20</f>
        <v>2101873</v>
      </c>
      <c r="G10" s="251">
        <f>G11+G12+G13+G14+G15+G16+G17+G18+G19+G20</f>
        <v>568128</v>
      </c>
      <c r="H10" s="251">
        <f>H11+H12+H13+H14+H15+H16+H17+H18+H19+H20</f>
        <v>58945</v>
      </c>
      <c r="I10" s="251">
        <f t="shared" si="0"/>
        <v>27090</v>
      </c>
      <c r="J10" s="251">
        <f>'Bieu 60'!C8-'58'!H9</f>
        <v>-1646785.7716349997</v>
      </c>
      <c r="K10" s="251">
        <f>L10+R10+W10+AH10+AI10</f>
        <v>3931873.78</v>
      </c>
      <c r="L10" s="251">
        <f t="shared" si="0"/>
        <v>429644.40174200002</v>
      </c>
      <c r="M10" s="251">
        <f t="shared" si="0"/>
        <v>55090.17</v>
      </c>
      <c r="N10" s="251">
        <f t="shared" si="0"/>
        <v>0</v>
      </c>
      <c r="O10" s="251">
        <f t="shared" si="0"/>
        <v>467</v>
      </c>
      <c r="P10" s="251">
        <f t="shared" si="0"/>
        <v>16300</v>
      </c>
      <c r="Q10" s="251">
        <f t="shared" si="0"/>
        <v>16814.510999999999</v>
      </c>
      <c r="R10" s="251">
        <f t="shared" si="0"/>
        <v>2967184.1588129997</v>
      </c>
      <c r="S10" s="251">
        <f t="shared" si="0"/>
        <v>1545763.44</v>
      </c>
      <c r="T10" s="251">
        <f t="shared" si="0"/>
        <v>159</v>
      </c>
      <c r="U10" s="251">
        <f t="shared" si="0"/>
        <v>43753.92055499999</v>
      </c>
      <c r="V10" s="251">
        <f t="shared" si="0"/>
        <v>222738</v>
      </c>
      <c r="W10" s="251">
        <f t="shared" si="0"/>
        <v>178984.07944500001</v>
      </c>
      <c r="X10" s="251">
        <f t="shared" si="0"/>
        <v>130935.75825799999</v>
      </c>
      <c r="Y10" s="251">
        <f t="shared" si="0"/>
        <v>73377</v>
      </c>
      <c r="Z10" s="251">
        <f t="shared" si="0"/>
        <v>57436.862000000001</v>
      </c>
      <c r="AA10" s="251">
        <f t="shared" si="0"/>
        <v>79980</v>
      </c>
      <c r="AB10" s="251">
        <f t="shared" si="0"/>
        <v>73498.896257999993</v>
      </c>
      <c r="AC10" s="251">
        <f t="shared" si="0"/>
        <v>48048.321187000009</v>
      </c>
      <c r="AD10" s="251">
        <f t="shared" si="0"/>
        <v>30442</v>
      </c>
      <c r="AE10" s="251">
        <f t="shared" si="0"/>
        <v>30823.887620000001</v>
      </c>
      <c r="AF10" s="251">
        <f t="shared" si="0"/>
        <v>22639</v>
      </c>
      <c r="AG10" s="251">
        <f t="shared" si="0"/>
        <v>17224.433567</v>
      </c>
      <c r="AH10" s="251">
        <f t="shared" si="0"/>
        <v>337564.31000000006</v>
      </c>
      <c r="AI10" s="251">
        <f t="shared" si="0"/>
        <v>18496.830000000002</v>
      </c>
      <c r="AJ10" s="251"/>
      <c r="AK10" s="252">
        <f t="shared" ref="AK10:AK20" si="1">K10/C10</f>
        <v>1.3340939745333236</v>
      </c>
      <c r="AL10" s="252">
        <f t="shared" ref="AL10:AL20" si="2">L10/D10</f>
        <v>1.9683357999523543</v>
      </c>
      <c r="AM10" s="252">
        <f>R10/E10</f>
        <v>1.1113045121754634</v>
      </c>
    </row>
    <row r="11" spans="1:39">
      <c r="A11" s="8">
        <v>1</v>
      </c>
      <c r="B11" s="9" t="s">
        <v>243</v>
      </c>
      <c r="C11" s="11">
        <f>D11+E11+H11</f>
        <v>380538</v>
      </c>
      <c r="D11" s="11">
        <v>88104</v>
      </c>
      <c r="E11" s="11">
        <f>F11+G11</f>
        <v>284823</v>
      </c>
      <c r="F11" s="11">
        <v>246494</v>
      </c>
      <c r="G11" s="11">
        <v>38329</v>
      </c>
      <c r="H11" s="11">
        <f>782+6829</f>
        <v>7611</v>
      </c>
      <c r="I11" s="11">
        <v>5984</v>
      </c>
      <c r="J11" s="11">
        <f>'Bieu 60'!C9-'58'!H10</f>
        <v>-248822.4895769998</v>
      </c>
      <c r="K11" s="11">
        <f>L11+R11+W11+AH11+AI11</f>
        <v>528050.29999999993</v>
      </c>
      <c r="L11" s="11">
        <f>139941.8-X11</f>
        <v>139941.79999999999</v>
      </c>
      <c r="M11" s="11"/>
      <c r="N11" s="11"/>
      <c r="O11" s="11"/>
      <c r="P11" s="11"/>
      <c r="Q11" s="11">
        <f>'CTMT huyen'!D19</f>
        <v>0</v>
      </c>
      <c r="R11" s="11">
        <f>336775.9-AC11</f>
        <v>336760.9</v>
      </c>
      <c r="S11" s="11">
        <v>138268.29999999999</v>
      </c>
      <c r="T11" s="11"/>
      <c r="U11" s="11">
        <f>V11-W11</f>
        <v>0</v>
      </c>
      <c r="V11" s="11">
        <f>'BS huyen'!F10</f>
        <v>15</v>
      </c>
      <c r="W11" s="11">
        <f>X11+AC11</f>
        <v>15</v>
      </c>
      <c r="X11" s="11">
        <f>Z11+AB11</f>
        <v>0</v>
      </c>
      <c r="Y11" s="11"/>
      <c r="Z11" s="11">
        <f>'CTMT huyen'!D15</f>
        <v>0</v>
      </c>
      <c r="AA11" s="11"/>
      <c r="AB11" s="11">
        <f>'CTMT huyen'!D18</f>
        <v>0</v>
      </c>
      <c r="AC11" s="11">
        <f>AE11+AG11</f>
        <v>15</v>
      </c>
      <c r="AD11" s="11">
        <f>'BS huyen'!F17</f>
        <v>15</v>
      </c>
      <c r="AE11" s="11">
        <f>'CTMT huyen'!D16</f>
        <v>15</v>
      </c>
      <c r="AF11" s="11">
        <f>'BS huyen'!F14</f>
        <v>0</v>
      </c>
      <c r="AG11" s="11">
        <f>'CTMT huyen'!D20</f>
        <v>0</v>
      </c>
      <c r="AH11" s="11">
        <v>50365.5</v>
      </c>
      <c r="AI11" s="11">
        <v>967.1</v>
      </c>
      <c r="AJ11" s="11"/>
      <c r="AK11" s="10">
        <f t="shared" si="1"/>
        <v>1.3876414444812344</v>
      </c>
      <c r="AL11" s="10">
        <f t="shared" si="2"/>
        <v>1.5883705620630164</v>
      </c>
      <c r="AM11" s="10">
        <f t="shared" ref="AM11:AM20" si="3">R11/E11</f>
        <v>1.1823514954901817</v>
      </c>
    </row>
    <row r="12" spans="1:39">
      <c r="A12" s="8">
        <v>2</v>
      </c>
      <c r="B12" s="9" t="s">
        <v>244</v>
      </c>
      <c r="C12" s="11">
        <f t="shared" ref="C12:C20" si="4">D12+E12+H12</f>
        <v>136233</v>
      </c>
      <c r="D12" s="11">
        <v>13260</v>
      </c>
      <c r="E12" s="11">
        <f t="shared" ref="E12:E20" si="5">F12+G12</f>
        <v>120249</v>
      </c>
      <c r="F12" s="11">
        <v>102257</v>
      </c>
      <c r="G12" s="11">
        <v>17992</v>
      </c>
      <c r="H12" s="11">
        <f>367+2357</f>
        <v>2724</v>
      </c>
      <c r="I12" s="11">
        <v>1814</v>
      </c>
      <c r="J12" s="11">
        <f>'Bieu 60'!C10-'58'!H11</f>
        <v>-43006.35678100001</v>
      </c>
      <c r="K12" s="11">
        <f t="shared" ref="K12:K20" si="6">L12+R12+W12+AH12+AI12</f>
        <v>192940</v>
      </c>
      <c r="L12" s="11">
        <f>37027-X12</f>
        <v>36745</v>
      </c>
      <c r="M12" s="11"/>
      <c r="N12" s="11"/>
      <c r="O12" s="11"/>
      <c r="P12" s="11">
        <f>'BS huyen'!G12</f>
        <v>300</v>
      </c>
      <c r="Q12" s="11">
        <f>'CTMT huyen'!H19</f>
        <v>300</v>
      </c>
      <c r="R12" s="11">
        <f>137350-AC12</f>
        <v>137002.34299999999</v>
      </c>
      <c r="S12" s="11">
        <v>61575</v>
      </c>
      <c r="T12" s="11">
        <v>159</v>
      </c>
      <c r="U12" s="11">
        <f t="shared" ref="U12:U20" si="7">V12-W12</f>
        <v>478.34299999999996</v>
      </c>
      <c r="V12" s="11">
        <f>'BS huyen'!G10</f>
        <v>1108</v>
      </c>
      <c r="W12" s="11">
        <f t="shared" ref="W12:W20" si="8">X12+AC12</f>
        <v>629.65700000000004</v>
      </c>
      <c r="X12" s="11">
        <f t="shared" ref="X12:X20" si="9">Z12+AB12</f>
        <v>282</v>
      </c>
      <c r="Y12" s="11"/>
      <c r="Z12" s="11">
        <f>'CTMT huyen'!H15</f>
        <v>0</v>
      </c>
      <c r="AA12" s="11">
        <v>282</v>
      </c>
      <c r="AB12" s="11">
        <f>'CTMT huyen'!H18</f>
        <v>282</v>
      </c>
      <c r="AC12" s="11">
        <f t="shared" ref="AC12:AC20" si="10">AE12+AG12</f>
        <v>347.65700000000004</v>
      </c>
      <c r="AD12" s="11">
        <f>'BS huyen'!G17</f>
        <v>96</v>
      </c>
      <c r="AE12" s="11">
        <f>'CTMT huyen'!H16</f>
        <v>96</v>
      </c>
      <c r="AF12" s="11">
        <f>'BS huyen'!G14</f>
        <v>430</v>
      </c>
      <c r="AG12" s="11">
        <f>'CTMT huyen'!H20</f>
        <v>251.65700000000001</v>
      </c>
      <c r="AH12" s="11">
        <v>18333</v>
      </c>
      <c r="AI12" s="11">
        <v>230</v>
      </c>
      <c r="AJ12" s="11"/>
      <c r="AK12" s="10">
        <f t="shared" si="1"/>
        <v>1.4162501009300243</v>
      </c>
      <c r="AL12" s="10">
        <f t="shared" si="2"/>
        <v>2.7711161387631975</v>
      </c>
      <c r="AM12" s="10">
        <f t="shared" si="3"/>
        <v>1.1393220983126677</v>
      </c>
    </row>
    <row r="13" spans="1:39">
      <c r="A13" s="8">
        <v>3</v>
      </c>
      <c r="B13" s="9" t="s">
        <v>245</v>
      </c>
      <c r="C13" s="11">
        <f t="shared" si="4"/>
        <v>369328</v>
      </c>
      <c r="D13" s="11">
        <v>19216</v>
      </c>
      <c r="E13" s="11">
        <f t="shared" si="5"/>
        <v>342725</v>
      </c>
      <c r="F13" s="11">
        <v>248130</v>
      </c>
      <c r="G13" s="11">
        <v>94595</v>
      </c>
      <c r="H13" s="11">
        <f>5456+1931</f>
        <v>7387</v>
      </c>
      <c r="I13" s="11">
        <v>6840</v>
      </c>
      <c r="J13" s="11">
        <f>'Bieu 60'!C11-'58'!H15</f>
        <v>-288074.12128299975</v>
      </c>
      <c r="K13" s="11">
        <f t="shared" si="6"/>
        <v>501873.3</v>
      </c>
      <c r="L13" s="11">
        <f>75430.3-X13</f>
        <v>58984.53</v>
      </c>
      <c r="M13" s="11">
        <v>17534</v>
      </c>
      <c r="N13" s="11"/>
      <c r="O13" s="11"/>
      <c r="P13" s="11">
        <f>'BS huyen'!J12</f>
        <v>5016.95</v>
      </c>
      <c r="Q13" s="11">
        <f>'CTMT huyen'!F19</f>
        <v>4858.7565000000004</v>
      </c>
      <c r="R13" s="11">
        <f>395472-AC13</f>
        <v>388953.32280000002</v>
      </c>
      <c r="S13" s="11">
        <f>192718</f>
        <v>192718</v>
      </c>
      <c r="T13" s="11"/>
      <c r="U13" s="11">
        <f t="shared" si="7"/>
        <v>7887.5027999999984</v>
      </c>
      <c r="V13" s="11">
        <f>'BS huyen'!J10</f>
        <v>30851.95</v>
      </c>
      <c r="W13" s="11">
        <f t="shared" si="8"/>
        <v>22964.447200000002</v>
      </c>
      <c r="X13" s="11">
        <f t="shared" si="9"/>
        <v>16445.77</v>
      </c>
      <c r="Y13" s="11">
        <v>5040</v>
      </c>
      <c r="Z13" s="11">
        <f>'CTMT huyen'!F15</f>
        <v>4963.0029999999997</v>
      </c>
      <c r="AA13" s="11">
        <v>11158</v>
      </c>
      <c r="AB13" s="11">
        <f>'CTMT huyen'!F18</f>
        <v>11482.767</v>
      </c>
      <c r="AC13" s="11">
        <f t="shared" si="10"/>
        <v>6518.6772000000001</v>
      </c>
      <c r="AD13" s="11">
        <f>'BS huyen'!J17</f>
        <v>2611</v>
      </c>
      <c r="AE13" s="11">
        <f>'CTMT huyen'!F16</f>
        <v>2582.9884999999999</v>
      </c>
      <c r="AF13" s="11">
        <f>'BS huyen'!J14</f>
        <v>7026</v>
      </c>
      <c r="AG13" s="11">
        <f>'CTMT huyen'!F20</f>
        <v>3935.6887000000002</v>
      </c>
      <c r="AH13" s="11">
        <v>30292</v>
      </c>
      <c r="AI13" s="11">
        <v>679</v>
      </c>
      <c r="AJ13" s="11"/>
      <c r="AK13" s="10">
        <f t="shared" si="1"/>
        <v>1.3588823484815664</v>
      </c>
      <c r="AL13" s="10">
        <f t="shared" si="2"/>
        <v>3.0695529766860949</v>
      </c>
      <c r="AM13" s="10">
        <f t="shared" si="3"/>
        <v>1.1348845949376323</v>
      </c>
    </row>
    <row r="14" spans="1:39">
      <c r="A14" s="8">
        <v>4</v>
      </c>
      <c r="B14" s="9" t="s">
        <v>246</v>
      </c>
      <c r="C14" s="11">
        <f t="shared" si="4"/>
        <v>331584</v>
      </c>
      <c r="D14" s="11">
        <v>14718</v>
      </c>
      <c r="E14" s="11">
        <f t="shared" si="5"/>
        <v>310234</v>
      </c>
      <c r="F14" s="11">
        <v>236215</v>
      </c>
      <c r="G14" s="11">
        <v>74019</v>
      </c>
      <c r="H14" s="11">
        <f>1511+5121</f>
        <v>6632</v>
      </c>
      <c r="I14" s="11">
        <v>2004</v>
      </c>
      <c r="J14" s="11">
        <f>'Bieu 60'!C12-'58'!H14</f>
        <v>-49040.564583000029</v>
      </c>
      <c r="K14" s="11">
        <f t="shared" si="6"/>
        <v>446778.5</v>
      </c>
      <c r="L14" s="11">
        <f>55898.6-X14</f>
        <v>37502.462</v>
      </c>
      <c r="M14" s="11">
        <v>6953</v>
      </c>
      <c r="N14" s="11"/>
      <c r="O14" s="11"/>
      <c r="P14" s="11">
        <f>'BS huyen'!K12</f>
        <v>2589</v>
      </c>
      <c r="Q14" s="11">
        <f>'CTMT huyen'!G19</f>
        <v>2976.5349999999999</v>
      </c>
      <c r="R14" s="11">
        <f>359498.9-AC14</f>
        <v>353839.14600000001</v>
      </c>
      <c r="S14" s="11">
        <v>191877</v>
      </c>
      <c r="T14" s="11"/>
      <c r="U14" s="11">
        <f t="shared" si="7"/>
        <v>3201.1080000000002</v>
      </c>
      <c r="V14" s="11">
        <f>'BS huyen'!K10</f>
        <v>27257</v>
      </c>
      <c r="W14" s="11">
        <f t="shared" si="8"/>
        <v>24055.892</v>
      </c>
      <c r="X14" s="11">
        <f t="shared" si="9"/>
        <v>18396.137999999999</v>
      </c>
      <c r="Y14" s="11">
        <v>6220</v>
      </c>
      <c r="Z14" s="11">
        <f>'CTMT huyen'!G15</f>
        <v>6079.7309999999998</v>
      </c>
      <c r="AA14" s="11">
        <v>12542</v>
      </c>
      <c r="AB14" s="11">
        <f>'CTMT huyen'!G18</f>
        <v>12316.406999999999</v>
      </c>
      <c r="AC14" s="11">
        <f t="shared" si="10"/>
        <v>5659.7540000000008</v>
      </c>
      <c r="AD14" s="11">
        <f>'BS huyen'!K17</f>
        <v>3401</v>
      </c>
      <c r="AE14" s="11">
        <f>'CTMT huyen'!G16</f>
        <v>3293.7890000000002</v>
      </c>
      <c r="AF14" s="11">
        <f>'BS huyen'!K14</f>
        <v>2505</v>
      </c>
      <c r="AG14" s="11">
        <f>'CTMT huyen'!G20</f>
        <v>2365.9650000000001</v>
      </c>
      <c r="AH14" s="11">
        <v>26983.200000000001</v>
      </c>
      <c r="AI14" s="11">
        <v>4397.8</v>
      </c>
      <c r="AJ14" s="11"/>
      <c r="AK14" s="10">
        <f t="shared" si="1"/>
        <v>1.3474066903107509</v>
      </c>
      <c r="AL14" s="10">
        <f t="shared" si="2"/>
        <v>2.5480678081261039</v>
      </c>
      <c r="AM14" s="10">
        <f t="shared" si="3"/>
        <v>1.1405556644339434</v>
      </c>
    </row>
    <row r="15" spans="1:39">
      <c r="A15" s="8">
        <v>5</v>
      </c>
      <c r="B15" s="9" t="s">
        <v>247</v>
      </c>
      <c r="C15" s="11">
        <f t="shared" si="4"/>
        <v>337289</v>
      </c>
      <c r="D15" s="11">
        <v>18826</v>
      </c>
      <c r="E15" s="11">
        <f t="shared" si="5"/>
        <v>311717</v>
      </c>
      <c r="F15" s="11">
        <v>240580</v>
      </c>
      <c r="G15" s="11">
        <v>71137</v>
      </c>
      <c r="H15" s="11">
        <f>1452+5294</f>
        <v>6746</v>
      </c>
      <c r="I15" s="11">
        <v>2324</v>
      </c>
      <c r="J15" s="11">
        <f>'Bieu 60'!C13-'58'!H12</f>
        <v>-293752.32434799988</v>
      </c>
      <c r="K15" s="11">
        <f t="shared" si="6"/>
        <v>438040.58</v>
      </c>
      <c r="L15" s="11">
        <f>54331.96-X15</f>
        <v>45572.605599999995</v>
      </c>
      <c r="M15" s="11">
        <v>3799.17</v>
      </c>
      <c r="N15" s="11"/>
      <c r="O15" s="11"/>
      <c r="P15" s="11">
        <f>'BS huyen'!H12</f>
        <v>2832</v>
      </c>
      <c r="Q15" s="11">
        <f>'CTMT huyen'!J19</f>
        <v>2832</v>
      </c>
      <c r="R15" s="11">
        <f>346780.98-AC15</f>
        <v>344205.73099999997</v>
      </c>
      <c r="S15" s="11">
        <v>168329.14</v>
      </c>
      <c r="T15" s="11"/>
      <c r="U15" s="11">
        <f t="shared" si="7"/>
        <v>5035.740600000001</v>
      </c>
      <c r="V15" s="11">
        <f>'BS huyen'!H10</f>
        <v>16370.344000000001</v>
      </c>
      <c r="W15" s="11">
        <f t="shared" si="8"/>
        <v>11334.6034</v>
      </c>
      <c r="X15" s="11">
        <f t="shared" si="9"/>
        <v>8759.3544000000002</v>
      </c>
      <c r="Y15" s="11">
        <v>2200</v>
      </c>
      <c r="Z15" s="11">
        <f>'CTMT huyen'!J15</f>
        <v>1298.7059999999999</v>
      </c>
      <c r="AA15" s="11">
        <v>8178</v>
      </c>
      <c r="AB15" s="11">
        <f>'CTMT huyen'!J18</f>
        <v>7460.6484</v>
      </c>
      <c r="AC15" s="11">
        <f t="shared" si="10"/>
        <v>2575.2489999999998</v>
      </c>
      <c r="AD15" s="11">
        <f>'BS huyen'!H17</f>
        <v>1167.3440000000001</v>
      </c>
      <c r="AE15" s="11">
        <f>'CTMT huyen'!J16</f>
        <v>963.44899999999996</v>
      </c>
      <c r="AF15" s="11">
        <f>'BS huyen'!H14</f>
        <v>1993</v>
      </c>
      <c r="AG15" s="11">
        <f>'CTMT huyen'!J20</f>
        <v>1611.8</v>
      </c>
      <c r="AH15" s="11">
        <v>32891.71</v>
      </c>
      <c r="AI15" s="11">
        <v>4035.93</v>
      </c>
      <c r="AJ15" s="11"/>
      <c r="AK15" s="10">
        <f t="shared" si="1"/>
        <v>1.298709949034804</v>
      </c>
      <c r="AL15" s="10">
        <f t="shared" si="2"/>
        <v>2.4207269520875383</v>
      </c>
      <c r="AM15" s="10">
        <f t="shared" si="3"/>
        <v>1.1042250855744151</v>
      </c>
    </row>
    <row r="16" spans="1:39" s="248" customFormat="1">
      <c r="A16" s="244">
        <v>6</v>
      </c>
      <c r="B16" s="245" t="s">
        <v>248</v>
      </c>
      <c r="C16" s="246">
        <f t="shared" si="4"/>
        <v>382482</v>
      </c>
      <c r="D16" s="246">
        <v>19422</v>
      </c>
      <c r="E16" s="246">
        <f t="shared" si="5"/>
        <v>355411</v>
      </c>
      <c r="F16" s="246">
        <v>280575</v>
      </c>
      <c r="G16" s="246">
        <v>74836</v>
      </c>
      <c r="H16" s="246">
        <f>1527+6122</f>
        <v>7649</v>
      </c>
      <c r="I16" s="246">
        <v>2036</v>
      </c>
      <c r="J16" s="246">
        <f>'Bieu 60'!C14-'58'!H13</f>
        <v>-198753.16616899997</v>
      </c>
      <c r="K16" s="246">
        <f t="shared" si="6"/>
        <v>469871.4</v>
      </c>
      <c r="L16" s="246">
        <f>28014+10873.4-X16</f>
        <v>25267.026000000002</v>
      </c>
      <c r="M16" s="246">
        <f>1293+297</f>
        <v>1590</v>
      </c>
      <c r="N16" s="246"/>
      <c r="O16" s="246"/>
      <c r="P16" s="246">
        <f>'BS huyen'!I12</f>
        <v>3136</v>
      </c>
      <c r="Q16" s="246">
        <f>'CTMT huyen'!I19</f>
        <v>2129.31</v>
      </c>
      <c r="R16" s="246">
        <f>310733+86153-AC16</f>
        <v>391896.30050000001</v>
      </c>
      <c r="S16" s="246">
        <f>215926+553</f>
        <v>216479</v>
      </c>
      <c r="T16" s="246"/>
      <c r="U16" s="11">
        <f t="shared" si="7"/>
        <v>2564.6165000000037</v>
      </c>
      <c r="V16" s="246">
        <f>'BS huyen'!I10</f>
        <v>21174.690000000002</v>
      </c>
      <c r="W16" s="246">
        <f t="shared" si="8"/>
        <v>18610.073499999999</v>
      </c>
      <c r="X16" s="246">
        <f t="shared" si="9"/>
        <v>13620.374</v>
      </c>
      <c r="Y16" s="246">
        <v>4300</v>
      </c>
      <c r="Z16" s="246">
        <f>'CTMT huyen'!I15</f>
        <v>3876.3029999999999</v>
      </c>
      <c r="AA16" s="246">
        <v>8460</v>
      </c>
      <c r="AB16" s="246">
        <f>'CTMT huyen'!I18</f>
        <v>9744.0709999999999</v>
      </c>
      <c r="AC16" s="246">
        <f t="shared" si="10"/>
        <v>4989.6995000000006</v>
      </c>
      <c r="AD16" s="246">
        <f>'BS huyen'!I17</f>
        <v>3235.6900000000005</v>
      </c>
      <c r="AE16" s="246">
        <f>'CTMT huyen'!I16</f>
        <v>2701</v>
      </c>
      <c r="AF16" s="246">
        <f>'BS huyen'!I14</f>
        <v>2043</v>
      </c>
      <c r="AG16" s="246">
        <f>'CTMT huyen'!I20</f>
        <v>2288.6995000000002</v>
      </c>
      <c r="AH16" s="246">
        <v>32064</v>
      </c>
      <c r="AI16" s="246">
        <f>1736+298</f>
        <v>2034</v>
      </c>
      <c r="AJ16" s="246"/>
      <c r="AK16" s="247">
        <f t="shared" si="1"/>
        <v>1.2284797715970948</v>
      </c>
      <c r="AL16" s="247">
        <f t="shared" si="2"/>
        <v>1.300948717948718</v>
      </c>
      <c r="AM16" s="247">
        <f t="shared" si="3"/>
        <v>1.1026566439980754</v>
      </c>
    </row>
    <row r="17" spans="1:39">
      <c r="A17" s="8">
        <v>7</v>
      </c>
      <c r="B17" s="9" t="s">
        <v>251</v>
      </c>
      <c r="C17" s="11">
        <f t="shared" si="4"/>
        <v>212732</v>
      </c>
      <c r="D17" s="11">
        <v>11433</v>
      </c>
      <c r="E17" s="11">
        <f t="shared" si="5"/>
        <v>197044</v>
      </c>
      <c r="F17" s="11">
        <v>160599</v>
      </c>
      <c r="G17" s="11">
        <v>36445</v>
      </c>
      <c r="H17" s="11">
        <f>744+3511</f>
        <v>4255</v>
      </c>
      <c r="I17" s="11">
        <v>1648</v>
      </c>
      <c r="J17" s="11">
        <f>'Bieu 60'!C15-'58'!H16</f>
        <v>-112891.35036300006</v>
      </c>
      <c r="K17" s="11">
        <f t="shared" si="6"/>
        <v>265214.40000000002</v>
      </c>
      <c r="L17" s="11">
        <f>29717+1936.4-X17</f>
        <v>26090.208642000001</v>
      </c>
      <c r="M17" s="11">
        <f>3552+55</f>
        <v>3607</v>
      </c>
      <c r="N17" s="11"/>
      <c r="O17" s="11"/>
      <c r="P17" s="11">
        <f>'BS huyen'!M12</f>
        <v>2118.0500000000002</v>
      </c>
      <c r="Q17" s="11">
        <f>'CTMT huyen'!K19</f>
        <v>3717.9095000000002</v>
      </c>
      <c r="R17" s="11">
        <f>178088+44014-AC17</f>
        <v>218654.09030000001</v>
      </c>
      <c r="S17" s="11">
        <f>116351+195</f>
        <v>116546</v>
      </c>
      <c r="T17" s="11"/>
      <c r="U17" s="11">
        <f t="shared" si="7"/>
        <v>2956.9489419999991</v>
      </c>
      <c r="V17" s="11">
        <f>'BS huyen'!M10</f>
        <v>11968.05</v>
      </c>
      <c r="W17" s="11">
        <f t="shared" si="8"/>
        <v>9011.1010580000002</v>
      </c>
      <c r="X17" s="11">
        <f t="shared" si="9"/>
        <v>5563.191358</v>
      </c>
      <c r="Y17" s="11">
        <v>200</v>
      </c>
      <c r="Z17" s="11">
        <f>'CTMT huyen'!K15</f>
        <v>0</v>
      </c>
      <c r="AA17" s="11">
        <v>4956</v>
      </c>
      <c r="AB17" s="11">
        <f>'CTMT huyen'!K18</f>
        <v>5563.191358</v>
      </c>
      <c r="AC17" s="11">
        <f t="shared" si="10"/>
        <v>3447.9097000000002</v>
      </c>
      <c r="AD17" s="11">
        <f>'BS huyen'!M17</f>
        <v>451</v>
      </c>
      <c r="AE17" s="11">
        <f>'CTMT huyen'!K16</f>
        <v>316</v>
      </c>
      <c r="AF17" s="11">
        <f>'BS huyen'!M14</f>
        <v>4243</v>
      </c>
      <c r="AG17" s="11">
        <f>'CTMT huyen'!K20</f>
        <v>3131.9097000000002</v>
      </c>
      <c r="AH17" s="11">
        <f>10335+172</f>
        <v>10507</v>
      </c>
      <c r="AI17" s="11">
        <v>952</v>
      </c>
      <c r="AJ17" s="11"/>
      <c r="AK17" s="10">
        <f t="shared" si="1"/>
        <v>1.2467066543820395</v>
      </c>
      <c r="AL17" s="10">
        <f t="shared" si="2"/>
        <v>2.282008977696143</v>
      </c>
      <c r="AM17" s="10">
        <f t="shared" si="3"/>
        <v>1.109671394713871</v>
      </c>
    </row>
    <row r="18" spans="1:39" s="239" customFormat="1">
      <c r="A18" s="235">
        <v>8</v>
      </c>
      <c r="B18" s="236" t="s">
        <v>249</v>
      </c>
      <c r="C18" s="237">
        <f t="shared" si="4"/>
        <v>295287</v>
      </c>
      <c r="D18" s="237">
        <v>14028</v>
      </c>
      <c r="E18" s="237">
        <f t="shared" si="5"/>
        <v>275353</v>
      </c>
      <c r="F18" s="237">
        <v>214452</v>
      </c>
      <c r="G18" s="237">
        <v>60901</v>
      </c>
      <c r="H18" s="237">
        <f>1243+4663</f>
        <v>5906</v>
      </c>
      <c r="I18" s="237">
        <v>1892</v>
      </c>
      <c r="J18" s="237">
        <f>'Bieu 60'!C16-'58'!H17</f>
        <v>-185511.3555200001</v>
      </c>
      <c r="K18" s="237">
        <f t="shared" si="6"/>
        <v>419745.4</v>
      </c>
      <c r="L18" s="237">
        <f>59251.4-X18</f>
        <v>20620.078399999999</v>
      </c>
      <c r="M18" s="237">
        <v>5115</v>
      </c>
      <c r="N18" s="237"/>
      <c r="O18" s="237">
        <v>467</v>
      </c>
      <c r="P18" s="237"/>
      <c r="Q18" s="237">
        <f>'CTMT huyen'!L19</f>
        <v>0</v>
      </c>
      <c r="R18" s="237">
        <f>251837+65490-AC18</f>
        <v>301293.91537</v>
      </c>
      <c r="S18" s="237">
        <f>177307+421</f>
        <v>177728</v>
      </c>
      <c r="T18" s="237"/>
      <c r="U18" s="11">
        <f t="shared" si="7"/>
        <v>9678.5597699999926</v>
      </c>
      <c r="V18" s="237">
        <f>'BS huyen'!N10</f>
        <v>64342.966</v>
      </c>
      <c r="W18" s="237">
        <f t="shared" si="8"/>
        <v>54664.406230000008</v>
      </c>
      <c r="X18" s="237">
        <f t="shared" si="9"/>
        <v>38631.321600000003</v>
      </c>
      <c r="Y18" s="237">
        <v>35465</v>
      </c>
      <c r="Z18" s="237">
        <f>'CTMT huyen'!L15</f>
        <v>31177.899000000001</v>
      </c>
      <c r="AA18" s="237">
        <v>14664</v>
      </c>
      <c r="AB18" s="237">
        <f>'CTMT huyen'!L18</f>
        <v>7453.4225999999999</v>
      </c>
      <c r="AC18" s="237">
        <f t="shared" si="10"/>
        <v>16033.084630000001</v>
      </c>
      <c r="AD18" s="237">
        <f>'BS huyen'!N17</f>
        <v>12272.966</v>
      </c>
      <c r="AE18" s="237">
        <f>'CTMT huyen'!L16</f>
        <v>14200.52663</v>
      </c>
      <c r="AF18" s="237">
        <f>'BS huyen'!N14</f>
        <v>1941</v>
      </c>
      <c r="AG18" s="237">
        <f>'CTMT huyen'!L20</f>
        <v>1832.558</v>
      </c>
      <c r="AH18" s="237">
        <v>39899</v>
      </c>
      <c r="AI18" s="237">
        <v>3268</v>
      </c>
      <c r="AJ18" s="237"/>
      <c r="AK18" s="238">
        <f t="shared" si="1"/>
        <v>1.4214828285701708</v>
      </c>
      <c r="AL18" s="238">
        <f t="shared" si="2"/>
        <v>1.4699228970630167</v>
      </c>
      <c r="AM18" s="238">
        <f t="shared" si="3"/>
        <v>1.0942096703867399</v>
      </c>
    </row>
    <row r="19" spans="1:39">
      <c r="A19" s="8">
        <v>9</v>
      </c>
      <c r="B19" s="9" t="s">
        <v>250</v>
      </c>
      <c r="C19" s="11">
        <f t="shared" si="4"/>
        <v>482569</v>
      </c>
      <c r="D19" s="11">
        <v>17578</v>
      </c>
      <c r="E19" s="11">
        <f t="shared" si="5"/>
        <v>455340</v>
      </c>
      <c r="F19" s="11">
        <v>355466</v>
      </c>
      <c r="G19" s="11">
        <v>99874</v>
      </c>
      <c r="H19" s="11">
        <f>2038+7613</f>
        <v>9651</v>
      </c>
      <c r="I19" s="11">
        <v>1548</v>
      </c>
      <c r="J19" s="11">
        <f>'Bieu 60'!C17-'58'!H18</f>
        <v>-199884.71149899997</v>
      </c>
      <c r="K19" s="11">
        <f t="shared" si="6"/>
        <v>648309.39999999991</v>
      </c>
      <c r="L19" s="11">
        <f>66640.4-X19</f>
        <v>37444.590099999994</v>
      </c>
      <c r="M19" s="11">
        <v>16492</v>
      </c>
      <c r="N19" s="11"/>
      <c r="O19" s="11"/>
      <c r="P19" s="11">
        <f>'BS huyen'!L12</f>
        <v>308</v>
      </c>
      <c r="Q19" s="11">
        <f>'CTMT huyen'!E19</f>
        <v>0</v>
      </c>
      <c r="R19" s="11">
        <f>485413-AC19</f>
        <v>476951.70984299999</v>
      </c>
      <c r="S19" s="11">
        <v>281818</v>
      </c>
      <c r="T19" s="11"/>
      <c r="U19" s="11">
        <f t="shared" si="7"/>
        <v>10692.899942999997</v>
      </c>
      <c r="V19" s="11">
        <f>'BS huyen'!L10</f>
        <v>48350</v>
      </c>
      <c r="W19" s="11">
        <f t="shared" si="8"/>
        <v>37657.100057000003</v>
      </c>
      <c r="X19" s="11">
        <f t="shared" si="9"/>
        <v>29195.8099</v>
      </c>
      <c r="Y19" s="11">
        <v>18952</v>
      </c>
      <c r="Z19" s="11">
        <f>'CTMT huyen'!E15</f>
        <v>9999.4210000000003</v>
      </c>
      <c r="AA19" s="11">
        <v>19740</v>
      </c>
      <c r="AB19" s="11">
        <f>'CTMT huyen'!E18</f>
        <v>19196.388900000002</v>
      </c>
      <c r="AC19" s="11">
        <f t="shared" si="10"/>
        <v>8461.2901569999995</v>
      </c>
      <c r="AD19" s="11">
        <f>'BS huyen'!L17</f>
        <v>6892</v>
      </c>
      <c r="AE19" s="11">
        <f>'CTMT huyen'!E16</f>
        <v>6655.1344900000004</v>
      </c>
      <c r="AF19" s="11">
        <f>'BS huyen'!L14</f>
        <v>2458</v>
      </c>
      <c r="AG19" s="11">
        <f>'CTMT huyen'!E20</f>
        <v>1806.155667</v>
      </c>
      <c r="AH19" s="11">
        <v>94323</v>
      </c>
      <c r="AI19" s="11">
        <v>1933</v>
      </c>
      <c r="AJ19" s="11"/>
      <c r="AK19" s="10">
        <f t="shared" si="1"/>
        <v>1.3434543039440989</v>
      </c>
      <c r="AL19" s="10">
        <f t="shared" si="2"/>
        <v>2.1301962737512796</v>
      </c>
      <c r="AM19" s="10">
        <f t="shared" si="3"/>
        <v>1.0474627966859928</v>
      </c>
    </row>
    <row r="20" spans="1:39">
      <c r="A20" s="8">
        <v>10</v>
      </c>
      <c r="B20" s="9" t="s">
        <v>252</v>
      </c>
      <c r="C20" s="11">
        <f t="shared" si="4"/>
        <v>19182</v>
      </c>
      <c r="D20" s="11">
        <v>1693</v>
      </c>
      <c r="E20" s="11">
        <f t="shared" si="5"/>
        <v>17105</v>
      </c>
      <c r="F20" s="11">
        <v>17105</v>
      </c>
      <c r="G20" s="11"/>
      <c r="H20" s="11">
        <v>384</v>
      </c>
      <c r="I20" s="11">
        <v>1000</v>
      </c>
      <c r="J20" s="11">
        <f>'Bieu 60'!C18-'58'!H19</f>
        <v>-27049.371512000012</v>
      </c>
      <c r="K20" s="11">
        <f t="shared" si="6"/>
        <v>21050.5</v>
      </c>
      <c r="L20" s="11">
        <f>1517.9-W20</f>
        <v>1476.1010000000001</v>
      </c>
      <c r="M20" s="11"/>
      <c r="N20" s="11"/>
      <c r="O20" s="11"/>
      <c r="P20" s="11"/>
      <c r="Q20" s="11">
        <f>'CTMT huyen'!M19</f>
        <v>0</v>
      </c>
      <c r="R20" s="11">
        <f>17626.7-AC20</f>
        <v>17626.7</v>
      </c>
      <c r="S20" s="11">
        <v>425</v>
      </c>
      <c r="T20" s="11"/>
      <c r="U20" s="11">
        <f t="shared" si="7"/>
        <v>1258.201</v>
      </c>
      <c r="V20" s="11">
        <f>'BS huyen'!O10</f>
        <v>1300</v>
      </c>
      <c r="W20" s="11">
        <f t="shared" si="8"/>
        <v>41.798999999999999</v>
      </c>
      <c r="X20" s="11">
        <f t="shared" si="9"/>
        <v>41.798999999999999</v>
      </c>
      <c r="Y20" s="11">
        <v>1000</v>
      </c>
      <c r="Z20" s="11">
        <f>'CTMT huyen'!M15</f>
        <v>41.798999999999999</v>
      </c>
      <c r="AA20" s="11"/>
      <c r="AB20" s="11"/>
      <c r="AC20" s="11">
        <f t="shared" si="10"/>
        <v>0</v>
      </c>
      <c r="AD20" s="11">
        <f>'BS huyen'!O17</f>
        <v>300</v>
      </c>
      <c r="AE20" s="11"/>
      <c r="AF20" s="11"/>
      <c r="AG20" s="11"/>
      <c r="AH20" s="11">
        <v>1905.9</v>
      </c>
      <c r="AI20" s="11"/>
      <c r="AJ20" s="11"/>
      <c r="AK20" s="10">
        <f t="shared" si="1"/>
        <v>1.0974090292983005</v>
      </c>
      <c r="AL20" s="10">
        <f t="shared" si="2"/>
        <v>0.87188481984642652</v>
      </c>
      <c r="AM20" s="10">
        <f t="shared" si="3"/>
        <v>1.0304998538439054</v>
      </c>
    </row>
    <row r="21" spans="1:39">
      <c r="A21" s="5" t="s">
        <v>184</v>
      </c>
      <c r="K21" s="1">
        <v>3931874</v>
      </c>
      <c r="L21" s="12">
        <f>L10+X10</f>
        <v>560580.16</v>
      </c>
      <c r="M21" s="1">
        <f>530848+26433</f>
        <v>557281</v>
      </c>
      <c r="N21" s="12">
        <f>L10+X10</f>
        <v>560580.16</v>
      </c>
      <c r="R21" s="12">
        <f>R10+AC10</f>
        <v>3015232.4799999995</v>
      </c>
      <c r="S21" s="12">
        <f>L10+R10+W10+AH10+AI10</f>
        <v>3931873.78</v>
      </c>
      <c r="W21" s="12">
        <f>Z21+AB21</f>
        <v>54664.406229999993</v>
      </c>
      <c r="Z21" s="12">
        <f>Z18+AE18</f>
        <v>45378.425629999998</v>
      </c>
      <c r="AA21" s="12"/>
      <c r="AB21" s="12">
        <f>AB18+AG18</f>
        <v>9285.980599999999</v>
      </c>
    </row>
    <row r="22" spans="1:39">
      <c r="A22" s="7" t="s">
        <v>174</v>
      </c>
      <c r="K22" s="12">
        <f>K21-K10</f>
        <v>0.22000000020489097</v>
      </c>
      <c r="N22" s="12">
        <f>N21-M21</f>
        <v>3299.1600000000326</v>
      </c>
    </row>
    <row r="23" spans="1:39">
      <c r="A23" s="7" t="s">
        <v>175</v>
      </c>
      <c r="K23" s="1">
        <f>3253765+678109</f>
        <v>3931874</v>
      </c>
      <c r="L23" s="12">
        <f>L17+X17</f>
        <v>31653.4</v>
      </c>
    </row>
    <row r="24" spans="1:39">
      <c r="L24" s="12">
        <f>R17+AC17</f>
        <v>222102</v>
      </c>
    </row>
    <row r="25" spans="1:39">
      <c r="L25" s="12">
        <f>AH17</f>
        <v>10507</v>
      </c>
    </row>
    <row r="26" spans="1:39">
      <c r="L26" s="12">
        <f>AI17</f>
        <v>952</v>
      </c>
    </row>
    <row r="27" spans="1:39">
      <c r="L27" s="12">
        <f>L26+L25+L24+L23</f>
        <v>265214.40000000002</v>
      </c>
    </row>
  </sheetData>
  <mergeCells count="29">
    <mergeCell ref="AH6:AH8"/>
    <mergeCell ref="AI6:AI8"/>
    <mergeCell ref="AJ6:AJ8"/>
    <mergeCell ref="R6:T6"/>
    <mergeCell ref="W6:AC6"/>
    <mergeCell ref="L7:L8"/>
    <mergeCell ref="S7:T7"/>
    <mergeCell ref="W7:W8"/>
    <mergeCell ref="X7:AC7"/>
    <mergeCell ref="A2:AM2"/>
    <mergeCell ref="A3:AM3"/>
    <mergeCell ref="A5:A8"/>
    <mergeCell ref="B5:B8"/>
    <mergeCell ref="C5:I5"/>
    <mergeCell ref="K5:AH5"/>
    <mergeCell ref="AK5:AM5"/>
    <mergeCell ref="AK6:AK8"/>
    <mergeCell ref="AL6:AL8"/>
    <mergeCell ref="AM6:AM8"/>
    <mergeCell ref="C6:C8"/>
    <mergeCell ref="D6:D8"/>
    <mergeCell ref="E6:E8"/>
    <mergeCell ref="M7:N7"/>
    <mergeCell ref="O7:Q7"/>
    <mergeCell ref="R7:R8"/>
    <mergeCell ref="H6:H8"/>
    <mergeCell ref="I6:I8"/>
    <mergeCell ref="K6:K8"/>
    <mergeCell ref="L6:N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35"/>
  <sheetViews>
    <sheetView workbookViewId="0">
      <selection activeCell="C23" sqref="C23"/>
    </sheetView>
  </sheetViews>
  <sheetFormatPr defaultRowHeight="12.75"/>
  <cols>
    <col min="1" max="1" width="13.875" style="217" customWidth="1"/>
    <col min="2" max="2" width="11" style="217" customWidth="1"/>
    <col min="3" max="3" width="13.25" style="217" customWidth="1"/>
    <col min="4" max="4" width="9.375" style="217" customWidth="1"/>
    <col min="5" max="5" width="10.75" style="217" customWidth="1"/>
    <col min="6" max="7" width="10.25" style="217" bestFit="1" customWidth="1"/>
    <col min="8" max="8" width="9" style="217"/>
    <col min="9" max="10" width="10.25" style="217" bestFit="1" customWidth="1"/>
    <col min="11" max="11" width="9.375" style="217" bestFit="1" customWidth="1"/>
    <col min="12" max="12" width="10.25" style="217" bestFit="1" customWidth="1"/>
    <col min="13" max="16384" width="9" style="217"/>
  </cols>
  <sheetData>
    <row r="1" spans="1:13">
      <c r="A1" s="217" t="s">
        <v>1149</v>
      </c>
      <c r="B1" s="217">
        <v>1000000</v>
      </c>
    </row>
    <row r="2" spans="1:13">
      <c r="B2" s="217" t="s">
        <v>1150</v>
      </c>
      <c r="C2" s="217" t="s">
        <v>1151</v>
      </c>
      <c r="D2" s="217" t="s">
        <v>1152</v>
      </c>
      <c r="E2" s="217" t="s">
        <v>1153</v>
      </c>
      <c r="F2" s="217" t="s">
        <v>1154</v>
      </c>
      <c r="G2" s="217" t="s">
        <v>1155</v>
      </c>
      <c r="H2" s="217" t="s">
        <v>1156</v>
      </c>
      <c r="I2" s="217" t="s">
        <v>1157</v>
      </c>
      <c r="J2" s="217" t="s">
        <v>1158</v>
      </c>
      <c r="K2" s="217" t="s">
        <v>1159</v>
      </c>
      <c r="L2" s="217" t="s">
        <v>1160</v>
      </c>
      <c r="M2" s="217" t="s">
        <v>1161</v>
      </c>
    </row>
    <row r="3" spans="1:13">
      <c r="A3" s="217" t="s">
        <v>1162</v>
      </c>
      <c r="D3" s="217">
        <v>1561</v>
      </c>
      <c r="E3" s="217">
        <v>1562</v>
      </c>
      <c r="F3" s="217">
        <v>1563</v>
      </c>
      <c r="G3" s="217">
        <v>1564</v>
      </c>
      <c r="H3" s="217">
        <v>1565</v>
      </c>
      <c r="I3" s="217">
        <v>1566</v>
      </c>
      <c r="J3" s="217">
        <v>1567</v>
      </c>
      <c r="K3" s="217">
        <v>1568</v>
      </c>
      <c r="L3" s="217">
        <v>1569</v>
      </c>
    </row>
    <row r="4" spans="1:13">
      <c r="A4" s="217" t="s">
        <v>1163</v>
      </c>
      <c r="B4" s="217">
        <v>57436862000</v>
      </c>
      <c r="C4" s="218">
        <f t="shared" ref="C4:C9" si="0">SUM(D4:M4)</f>
        <v>57436862000</v>
      </c>
      <c r="D4" s="218"/>
      <c r="E4" s="218">
        <v>9999421000</v>
      </c>
      <c r="F4" s="218">
        <v>4963003000</v>
      </c>
      <c r="G4" s="218">
        <v>6079731000</v>
      </c>
      <c r="H4" s="218">
        <v>0</v>
      </c>
      <c r="I4" s="218">
        <v>3876303000</v>
      </c>
      <c r="J4" s="218">
        <v>1298706000</v>
      </c>
      <c r="K4" s="218">
        <v>0</v>
      </c>
      <c r="L4" s="218">
        <v>31177899000</v>
      </c>
      <c r="M4" s="218">
        <v>41799000</v>
      </c>
    </row>
    <row r="5" spans="1:13">
      <c r="A5" s="217" t="s">
        <v>1164</v>
      </c>
      <c r="B5" s="217">
        <v>30823887620</v>
      </c>
      <c r="C5" s="218">
        <f t="shared" si="0"/>
        <v>30823887620</v>
      </c>
      <c r="D5" s="217">
        <v>15000000</v>
      </c>
      <c r="E5" s="217">
        <v>6655134490</v>
      </c>
      <c r="F5" s="217">
        <v>2582988500</v>
      </c>
      <c r="G5" s="217">
        <v>3293789000</v>
      </c>
      <c r="H5" s="217">
        <v>96000000</v>
      </c>
      <c r="I5" s="217">
        <v>2701000000</v>
      </c>
      <c r="J5" s="217">
        <v>963449000</v>
      </c>
      <c r="K5" s="217">
        <v>316000000</v>
      </c>
      <c r="L5" s="217">
        <v>14200526630</v>
      </c>
    </row>
    <row r="6" spans="1:13">
      <c r="A6" s="217" t="s">
        <v>1141</v>
      </c>
      <c r="C6" s="218">
        <f t="shared" si="0"/>
        <v>0</v>
      </c>
    </row>
    <row r="7" spans="1:13">
      <c r="A7" s="217" t="s">
        <v>1163</v>
      </c>
      <c r="B7" s="217">
        <v>89017661258</v>
      </c>
      <c r="C7" s="218">
        <f t="shared" si="0"/>
        <v>76630896258</v>
      </c>
      <c r="E7" s="218">
        <f>[2]Sheet10!O206</f>
        <v>19196388900</v>
      </c>
      <c r="F7" s="218">
        <f>[2]Sheet10!O282</f>
        <v>11482767000</v>
      </c>
      <c r="G7" s="218">
        <f>[2]Sheet10!O347</f>
        <v>12316407000</v>
      </c>
      <c r="H7" s="218">
        <f>[2]Sheet10!O350</f>
        <v>582000000</v>
      </c>
      <c r="I7" s="218">
        <f>[2]Sheet10!O355+[2]Sheet10!O560</f>
        <v>9744071000</v>
      </c>
      <c r="J7" s="218">
        <f>[2]Sheet10!O429</f>
        <v>10292648400</v>
      </c>
      <c r="K7" s="218">
        <f>[2]Sheet10!O485</f>
        <v>5563191358</v>
      </c>
      <c r="L7" s="218">
        <f>[2]Sheet10!O517</f>
        <v>7453422600</v>
      </c>
    </row>
    <row r="8" spans="1:13">
      <c r="C8" s="218">
        <f t="shared" si="0"/>
        <v>12386765000</v>
      </c>
      <c r="E8" s="218"/>
      <c r="F8" s="218">
        <f>[2]Sheet10!O222</f>
        <v>4858756500</v>
      </c>
      <c r="G8" s="218">
        <f>[2]Sheet10!O293</f>
        <v>2976535000</v>
      </c>
      <c r="H8" s="218"/>
      <c r="I8" s="218">
        <f>[2]Sheet10!O524</f>
        <v>2129310000</v>
      </c>
      <c r="J8" s="218"/>
      <c r="K8" s="218">
        <f>[2]Sheet10!O446</f>
        <v>2422163500</v>
      </c>
      <c r="L8" s="218"/>
    </row>
    <row r="9" spans="1:13">
      <c r="A9" s="217" t="s">
        <v>1164</v>
      </c>
      <c r="B9" s="217">
        <v>17224433567</v>
      </c>
      <c r="C9" s="218">
        <f t="shared" si="0"/>
        <v>17224433567</v>
      </c>
      <c r="E9" s="217">
        <v>1806155667</v>
      </c>
      <c r="F9" s="217">
        <v>3935688700</v>
      </c>
      <c r="G9" s="217">
        <v>2365965000</v>
      </c>
      <c r="H9" s="217">
        <v>251657000</v>
      </c>
      <c r="I9" s="217">
        <v>2288699500</v>
      </c>
      <c r="J9" s="217">
        <v>1611800000</v>
      </c>
      <c r="K9" s="217">
        <v>3131909700</v>
      </c>
      <c r="L9" s="217">
        <v>1832558000</v>
      </c>
    </row>
    <row r="11" spans="1:13">
      <c r="C11" s="218">
        <f>C7+C8-B7</f>
        <v>0</v>
      </c>
    </row>
    <row r="12" spans="1:13">
      <c r="B12" s="217">
        <v>1000000</v>
      </c>
    </row>
    <row r="13" spans="1:13" s="220" customFormat="1" ht="24" customHeight="1">
      <c r="A13" s="219"/>
      <c r="B13" s="219" t="s">
        <v>1150</v>
      </c>
      <c r="C13" s="219" t="s">
        <v>1151</v>
      </c>
      <c r="D13" s="219" t="s">
        <v>1152</v>
      </c>
      <c r="E13" s="219" t="s">
        <v>1153</v>
      </c>
      <c r="F13" s="219" t="s">
        <v>1154</v>
      </c>
      <c r="G13" s="219" t="s">
        <v>1155</v>
      </c>
      <c r="H13" s="219" t="s">
        <v>1156</v>
      </c>
      <c r="I13" s="219" t="s">
        <v>1157</v>
      </c>
      <c r="J13" s="219" t="s">
        <v>1158</v>
      </c>
      <c r="K13" s="219" t="s">
        <v>1159</v>
      </c>
      <c r="L13" s="219" t="s">
        <v>1160</v>
      </c>
      <c r="M13" s="219" t="s">
        <v>1161</v>
      </c>
    </row>
    <row r="14" spans="1:13" s="222" customFormat="1" ht="21.75" customHeight="1">
      <c r="A14" s="221" t="s">
        <v>1162</v>
      </c>
      <c r="B14" s="221"/>
      <c r="C14" s="221"/>
      <c r="D14" s="221">
        <v>1561</v>
      </c>
      <c r="E14" s="221">
        <v>1562</v>
      </c>
      <c r="F14" s="221">
        <v>1563</v>
      </c>
      <c r="G14" s="221">
        <v>1564</v>
      </c>
      <c r="H14" s="221">
        <v>1565</v>
      </c>
      <c r="I14" s="221">
        <v>1566</v>
      </c>
      <c r="J14" s="221">
        <v>1567</v>
      </c>
      <c r="K14" s="221">
        <v>1568</v>
      </c>
      <c r="L14" s="221">
        <v>1569</v>
      </c>
      <c r="M14" s="221"/>
    </row>
    <row r="15" spans="1:13" s="226" customFormat="1" ht="31.5" customHeight="1">
      <c r="A15" s="223" t="s">
        <v>1163</v>
      </c>
      <c r="B15" s="224">
        <v>57436.862000000001</v>
      </c>
      <c r="C15" s="224">
        <f t="shared" ref="C15:C20" si="1">SUM(D15:M15)</f>
        <v>57436.861999999994</v>
      </c>
      <c r="D15" s="223">
        <v>0</v>
      </c>
      <c r="E15" s="225">
        <v>9999.4210000000003</v>
      </c>
      <c r="F15" s="225">
        <v>4963.0029999999997</v>
      </c>
      <c r="G15" s="225">
        <v>6079.7309999999998</v>
      </c>
      <c r="H15" s="225">
        <v>0</v>
      </c>
      <c r="I15" s="225">
        <v>3876.3029999999999</v>
      </c>
      <c r="J15" s="225">
        <v>1298.7059999999999</v>
      </c>
      <c r="K15" s="225">
        <v>0</v>
      </c>
      <c r="L15" s="225">
        <v>31177.899000000001</v>
      </c>
      <c r="M15" s="225">
        <v>41.798999999999999</v>
      </c>
    </row>
    <row r="16" spans="1:13" s="226" customFormat="1" ht="31.5" customHeight="1">
      <c r="A16" s="223" t="s">
        <v>1164</v>
      </c>
      <c r="B16" s="224">
        <v>30823.887620000001</v>
      </c>
      <c r="C16" s="224">
        <f t="shared" si="1"/>
        <v>30823.887620000001</v>
      </c>
      <c r="D16" s="223">
        <v>15</v>
      </c>
      <c r="E16" s="225">
        <v>6655.1344900000004</v>
      </c>
      <c r="F16" s="225">
        <v>2582.9884999999999</v>
      </c>
      <c r="G16" s="225">
        <v>3293.7890000000002</v>
      </c>
      <c r="H16" s="225">
        <v>96</v>
      </c>
      <c r="I16" s="225">
        <v>2701</v>
      </c>
      <c r="J16" s="225">
        <v>963.44899999999996</v>
      </c>
      <c r="K16" s="225">
        <v>316</v>
      </c>
      <c r="L16" s="225">
        <v>14200.52663</v>
      </c>
      <c r="M16" s="225">
        <v>0</v>
      </c>
    </row>
    <row r="17" spans="1:13" s="226" customFormat="1" ht="31.5" customHeight="1">
      <c r="A17" s="223" t="s">
        <v>1141</v>
      </c>
      <c r="B17" s="224">
        <v>0</v>
      </c>
      <c r="C17" s="224">
        <f t="shared" si="1"/>
        <v>0</v>
      </c>
      <c r="D17" s="223">
        <v>0</v>
      </c>
      <c r="E17" s="225">
        <v>0</v>
      </c>
      <c r="F17" s="225">
        <v>0</v>
      </c>
      <c r="G17" s="225">
        <v>0</v>
      </c>
      <c r="H17" s="225">
        <v>0</v>
      </c>
      <c r="I17" s="225">
        <v>0</v>
      </c>
      <c r="J17" s="225">
        <v>0</v>
      </c>
      <c r="K17" s="225">
        <v>0</v>
      </c>
      <c r="L17" s="225">
        <v>0</v>
      </c>
      <c r="M17" s="225">
        <v>0</v>
      </c>
    </row>
    <row r="18" spans="1:13" s="226" customFormat="1" ht="31.5" customHeight="1">
      <c r="A18" s="223" t="s">
        <v>1163</v>
      </c>
      <c r="B18" s="224">
        <v>89017.661257999993</v>
      </c>
      <c r="C18" s="224">
        <f t="shared" si="1"/>
        <v>73498.896258000008</v>
      </c>
      <c r="D18" s="223">
        <v>0</v>
      </c>
      <c r="E18" s="227">
        <v>19196.388900000002</v>
      </c>
      <c r="F18" s="227">
        <v>11482.767</v>
      </c>
      <c r="G18" s="227">
        <v>12316.406999999999</v>
      </c>
      <c r="H18" s="227">
        <f>582-H19</f>
        <v>282</v>
      </c>
      <c r="I18" s="227">
        <v>9744.0709999999999</v>
      </c>
      <c r="J18" s="227">
        <f>10292.6484-J19</f>
        <v>7460.6484</v>
      </c>
      <c r="K18" s="227">
        <v>5563.191358</v>
      </c>
      <c r="L18" s="227">
        <v>7453.4225999999999</v>
      </c>
      <c r="M18" s="227">
        <v>0</v>
      </c>
    </row>
    <row r="19" spans="1:13" s="226" customFormat="1" ht="31.5" customHeight="1">
      <c r="A19" s="223" t="s">
        <v>1165</v>
      </c>
      <c r="B19" s="224">
        <v>0</v>
      </c>
      <c r="C19" s="224">
        <f t="shared" si="1"/>
        <v>16814.511000000002</v>
      </c>
      <c r="D19" s="223">
        <v>0</v>
      </c>
      <c r="E19" s="227">
        <v>0</v>
      </c>
      <c r="F19" s="227">
        <v>4858.7565000000004</v>
      </c>
      <c r="G19" s="227">
        <v>2976.5349999999999</v>
      </c>
      <c r="H19" s="227">
        <v>300</v>
      </c>
      <c r="I19" s="227">
        <v>2129.31</v>
      </c>
      <c r="J19" s="227">
        <v>2832</v>
      </c>
      <c r="K19" s="227">
        <f>2422.1635+1295.746</f>
        <v>3717.9095000000002</v>
      </c>
      <c r="L19" s="227">
        <v>0</v>
      </c>
      <c r="M19" s="227">
        <v>0</v>
      </c>
    </row>
    <row r="20" spans="1:13" s="226" customFormat="1" ht="31.5" customHeight="1">
      <c r="A20" s="223" t="s">
        <v>1164</v>
      </c>
      <c r="B20" s="224">
        <v>17224.433567</v>
      </c>
      <c r="C20" s="224">
        <f t="shared" si="1"/>
        <v>17224.433567</v>
      </c>
      <c r="D20" s="223">
        <v>0</v>
      </c>
      <c r="E20" s="225">
        <v>1806.155667</v>
      </c>
      <c r="F20" s="225">
        <v>3935.6887000000002</v>
      </c>
      <c r="G20" s="225">
        <v>2365.9650000000001</v>
      </c>
      <c r="H20" s="225">
        <v>251.65700000000001</v>
      </c>
      <c r="I20" s="225">
        <v>2288.6995000000002</v>
      </c>
      <c r="J20" s="225">
        <v>1611.8</v>
      </c>
      <c r="K20" s="225">
        <v>3131.9097000000002</v>
      </c>
      <c r="L20" s="225">
        <v>1832.558</v>
      </c>
      <c r="M20" s="225">
        <v>0</v>
      </c>
    </row>
    <row r="21" spans="1:13">
      <c r="B21" s="218">
        <f>SUM(B15:B20)</f>
        <v>194502.844445</v>
      </c>
      <c r="C21" s="218">
        <f>SUM(C15:C20)</f>
        <v>195798.59044500001</v>
      </c>
      <c r="D21" s="218">
        <f t="shared" ref="D21:M21" si="2">SUM(D15:D20)</f>
        <v>15</v>
      </c>
      <c r="E21" s="218">
        <f t="shared" si="2"/>
        <v>37657.100057000003</v>
      </c>
      <c r="F21" s="218">
        <f>SUM(F15:F20)</f>
        <v>27823.203699999998</v>
      </c>
      <c r="G21" s="218">
        <f t="shared" si="2"/>
        <v>27032.427</v>
      </c>
      <c r="H21" s="218">
        <f t="shared" si="2"/>
        <v>929.65700000000004</v>
      </c>
      <c r="I21" s="218">
        <f t="shared" si="2"/>
        <v>20739.3835</v>
      </c>
      <c r="J21" s="218">
        <f t="shared" si="2"/>
        <v>14166.6034</v>
      </c>
      <c r="K21" s="218">
        <f t="shared" si="2"/>
        <v>12729.010558</v>
      </c>
      <c r="L21" s="218">
        <f t="shared" si="2"/>
        <v>54664.406229999993</v>
      </c>
      <c r="M21" s="218">
        <f t="shared" si="2"/>
        <v>41.798999999999999</v>
      </c>
    </row>
    <row r="22" spans="1:13">
      <c r="A22" s="217" t="s">
        <v>1166</v>
      </c>
      <c r="B22" s="217">
        <f>B23+B24</f>
        <v>315.82600000000002</v>
      </c>
      <c r="C22" s="218">
        <f>C21+B28+B29+B31+B33</f>
        <v>236948.09268099998</v>
      </c>
    </row>
    <row r="23" spans="1:13">
      <c r="B23" s="217">
        <v>173.04300000000001</v>
      </c>
    </row>
    <row r="24" spans="1:13">
      <c r="B24" s="217">
        <v>142.78299999999999</v>
      </c>
    </row>
    <row r="25" spans="1:13">
      <c r="B25" s="218">
        <f>B15+B16+B18+B19+B20+B22</f>
        <v>194818.670445</v>
      </c>
    </row>
    <row r="26" spans="1:13">
      <c r="A26" s="217" t="s">
        <v>1167</v>
      </c>
    </row>
    <row r="27" spans="1:13">
      <c r="A27" s="228" t="s">
        <v>1162</v>
      </c>
    </row>
    <row r="28" spans="1:13">
      <c r="A28" s="217" t="s">
        <v>1163</v>
      </c>
      <c r="B28" s="218">
        <f>'[2]CTMT -Dt'!O35/1000000</f>
        <v>10177.183000000001</v>
      </c>
      <c r="C28" s="218">
        <f>B28+B29+C15+C16</f>
        <v>100038.93262000001</v>
      </c>
    </row>
    <row r="29" spans="1:13">
      <c r="A29" s="217" t="s">
        <v>1164</v>
      </c>
      <c r="B29" s="217">
        <v>1601</v>
      </c>
      <c r="C29" s="218">
        <f>C18+C19+C20+B33</f>
        <v>119519.14332500001</v>
      </c>
    </row>
    <row r="30" spans="1:13">
      <c r="A30" s="217" t="s">
        <v>1141</v>
      </c>
      <c r="C30" s="218">
        <f>C18+C19</f>
        <v>90313.407258000007</v>
      </c>
    </row>
    <row r="31" spans="1:13">
      <c r="A31" s="217" t="s">
        <v>1163</v>
      </c>
      <c r="B31" s="217">
        <f>'[2]CTMT -Dt'!O106/1000000</f>
        <v>17390.016736000001</v>
      </c>
    </row>
    <row r="32" spans="1:13">
      <c r="A32" s="217" t="s">
        <v>1165</v>
      </c>
    </row>
    <row r="33" spans="1:3">
      <c r="A33" s="217" t="s">
        <v>1164</v>
      </c>
      <c r="B33" s="217">
        <f>'[2]ctmt -sn'!N34/1000000</f>
        <v>11981.3025</v>
      </c>
      <c r="C33" s="217">
        <f>C35+C34</f>
        <v>194502844445</v>
      </c>
    </row>
    <row r="34" spans="1:3">
      <c r="C34" s="217">
        <v>48048321187</v>
      </c>
    </row>
    <row r="35" spans="1:3">
      <c r="C35" s="217">
        <v>146454523258</v>
      </c>
    </row>
  </sheetData>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9"/>
  <sheetViews>
    <sheetView topLeftCell="A7" workbookViewId="0">
      <selection activeCell="A3" sqref="A3:J3"/>
    </sheetView>
  </sheetViews>
  <sheetFormatPr defaultRowHeight="15"/>
  <cols>
    <col min="1" max="1" width="5.375" style="343" customWidth="1"/>
    <col min="2" max="2" width="20.625" style="343" customWidth="1"/>
    <col min="3" max="3" width="10.75" style="343" customWidth="1"/>
    <col min="4" max="4" width="9" style="343"/>
    <col min="5" max="5" width="10.375" style="343" customWidth="1"/>
    <col min="6" max="16384" width="9" style="343"/>
  </cols>
  <sheetData>
    <row r="1" spans="1:12">
      <c r="J1" s="366" t="s">
        <v>185</v>
      </c>
    </row>
    <row r="2" spans="1:12" ht="18.75">
      <c r="A2" s="1207" t="s">
        <v>237</v>
      </c>
      <c r="B2" s="1207"/>
      <c r="C2" s="1207"/>
      <c r="D2" s="1207"/>
      <c r="E2" s="1207"/>
      <c r="F2" s="1207"/>
      <c r="G2" s="1207"/>
      <c r="H2" s="1207"/>
      <c r="I2" s="1207"/>
      <c r="J2" s="1207"/>
    </row>
    <row r="3" spans="1:12">
      <c r="A3" s="1206" t="s">
        <v>1249</v>
      </c>
      <c r="B3" s="1206"/>
      <c r="C3" s="1206"/>
      <c r="D3" s="1206"/>
      <c r="E3" s="1206"/>
      <c r="F3" s="1206"/>
      <c r="G3" s="1206"/>
      <c r="H3" s="1206"/>
      <c r="I3" s="1206"/>
      <c r="J3" s="1206"/>
    </row>
    <row r="4" spans="1:12">
      <c r="J4" s="367" t="s">
        <v>2</v>
      </c>
      <c r="K4" s="368"/>
      <c r="L4" s="368"/>
    </row>
    <row r="5" spans="1:12" ht="18" customHeight="1">
      <c r="A5" s="1201" t="s">
        <v>3</v>
      </c>
      <c r="B5" s="1201" t="s">
        <v>152</v>
      </c>
      <c r="C5" s="1201" t="s">
        <v>186</v>
      </c>
      <c r="D5" s="1201" t="s">
        <v>158</v>
      </c>
      <c r="E5" s="1201"/>
      <c r="F5" s="1201"/>
      <c r="G5" s="1201"/>
      <c r="H5" s="1201"/>
      <c r="I5" s="1201"/>
      <c r="J5" s="1201"/>
    </row>
    <row r="6" spans="1:12" ht="97.5" customHeight="1">
      <c r="A6" s="1201"/>
      <c r="B6" s="1201"/>
      <c r="C6" s="1201"/>
      <c r="D6" s="327" t="s">
        <v>187</v>
      </c>
      <c r="E6" s="327" t="s">
        <v>188</v>
      </c>
      <c r="F6" s="327" t="s">
        <v>1145</v>
      </c>
      <c r="G6" s="327" t="s">
        <v>189</v>
      </c>
      <c r="H6" s="327" t="s">
        <v>27</v>
      </c>
      <c r="I6" s="327" t="s">
        <v>190</v>
      </c>
      <c r="J6" s="327" t="s">
        <v>1146</v>
      </c>
    </row>
    <row r="7" spans="1:12" s="369" customFormat="1">
      <c r="A7" s="372" t="s">
        <v>9</v>
      </c>
      <c r="B7" s="372" t="s">
        <v>10</v>
      </c>
      <c r="C7" s="372">
        <v>1</v>
      </c>
      <c r="D7" s="372">
        <v>2</v>
      </c>
      <c r="E7" s="372">
        <v>3</v>
      </c>
      <c r="F7" s="372">
        <v>4</v>
      </c>
      <c r="G7" s="372">
        <v>5</v>
      </c>
      <c r="H7" s="372">
        <v>6</v>
      </c>
      <c r="I7" s="372">
        <v>7</v>
      </c>
      <c r="J7" s="372">
        <v>8</v>
      </c>
    </row>
    <row r="8" spans="1:12" ht="19.5" customHeight="1">
      <c r="A8" s="327"/>
      <c r="B8" s="344" t="s">
        <v>154</v>
      </c>
      <c r="C8" s="370">
        <f t="shared" ref="C8:I8" si="0">SUM(C9:C18)</f>
        <v>5229623.8649380002</v>
      </c>
      <c r="D8" s="370">
        <f t="shared" si="0"/>
        <v>849816.56</v>
      </c>
      <c r="E8" s="370">
        <f t="shared" si="0"/>
        <v>2610086</v>
      </c>
      <c r="F8" s="370">
        <f t="shared" si="0"/>
        <v>1273907.5259379998</v>
      </c>
      <c r="G8" s="370">
        <f t="shared" si="0"/>
        <v>7409.7289999999994</v>
      </c>
      <c r="H8" s="370">
        <f t="shared" si="0"/>
        <v>340353.86</v>
      </c>
      <c r="I8" s="370">
        <f t="shared" si="0"/>
        <v>146057.69</v>
      </c>
      <c r="J8" s="370">
        <f>SUM(J9:J18)</f>
        <v>1992.5</v>
      </c>
    </row>
    <row r="9" spans="1:12">
      <c r="A9" s="347">
        <v>1</v>
      </c>
      <c r="B9" s="363" t="s">
        <v>243</v>
      </c>
      <c r="C9" s="371">
        <f>D9+E9+G9+H9+I9+F9+J9</f>
        <v>548897.71200000006</v>
      </c>
      <c r="D9" s="371">
        <v>344768.8</v>
      </c>
      <c r="E9" s="371">
        <f>'59'!L14-F9</f>
        <v>0</v>
      </c>
      <c r="F9" s="371">
        <f>'59'!P14-G9</f>
        <v>76478.512000000017</v>
      </c>
      <c r="G9" s="371">
        <f>'BS huyen'!F93</f>
        <v>0</v>
      </c>
      <c r="H9" s="371">
        <v>82903</v>
      </c>
      <c r="I9" s="371">
        <v>44747.4</v>
      </c>
      <c r="J9" s="371"/>
    </row>
    <row r="10" spans="1:12">
      <c r="A10" s="347">
        <v>2</v>
      </c>
      <c r="B10" s="363" t="s">
        <v>244</v>
      </c>
      <c r="C10" s="371">
        <f t="shared" ref="C10:C18" si="1">D10+E10+G10+H10+I10+F10+J10</f>
        <v>204263.02294199998</v>
      </c>
      <c r="D10" s="371">
        <v>78866.3</v>
      </c>
      <c r="E10" s="371">
        <f>'59'!L15-F10</f>
        <v>87335</v>
      </c>
      <c r="F10" s="371">
        <f>'59'!P15-G10</f>
        <v>21544.722942000004</v>
      </c>
      <c r="G10" s="371">
        <f>'BS huyen'!G93</f>
        <v>0</v>
      </c>
      <c r="H10" s="371">
        <v>13766</v>
      </c>
      <c r="I10" s="371">
        <v>2563</v>
      </c>
      <c r="J10" s="371">
        <v>188</v>
      </c>
    </row>
    <row r="11" spans="1:12">
      <c r="A11" s="347">
        <v>3</v>
      </c>
      <c r="B11" s="363" t="s">
        <v>245</v>
      </c>
      <c r="C11" s="371">
        <f t="shared" si="1"/>
        <v>623864.0560000001</v>
      </c>
      <c r="D11" s="371">
        <v>106266</v>
      </c>
      <c r="E11" s="371">
        <f>'59'!L16-F11</f>
        <v>325814</v>
      </c>
      <c r="F11" s="371">
        <f>'59'!P16-G11</f>
        <v>164039.65599999996</v>
      </c>
      <c r="G11" s="371">
        <f>'BS huyen'!J93</f>
        <v>0</v>
      </c>
      <c r="H11" s="371">
        <f>20122.7</f>
        <v>20122.7</v>
      </c>
      <c r="I11" s="371">
        <v>7017.9</v>
      </c>
      <c r="J11" s="371">
        <v>603.79999999999995</v>
      </c>
    </row>
    <row r="12" spans="1:12">
      <c r="A12" s="347">
        <v>4</v>
      </c>
      <c r="B12" s="363" t="s">
        <v>246</v>
      </c>
      <c r="C12" s="371">
        <f t="shared" si="1"/>
        <v>608764.61599999992</v>
      </c>
      <c r="D12" s="371">
        <v>49581.4</v>
      </c>
      <c r="E12" s="371">
        <f>'59'!L17-F12-G12</f>
        <v>368156.99999999994</v>
      </c>
      <c r="F12" s="371">
        <f>'59'!P17-G12</f>
        <v>121887.11000000002</v>
      </c>
      <c r="G12" s="371">
        <f>'BS huyen'!K93</f>
        <v>3426.4059999999999</v>
      </c>
      <c r="H12" s="371">
        <v>56788</v>
      </c>
      <c r="I12" s="371">
        <v>8522</v>
      </c>
      <c r="J12" s="371">
        <v>402.7</v>
      </c>
    </row>
    <row r="13" spans="1:12">
      <c r="A13" s="347">
        <v>5</v>
      </c>
      <c r="B13" s="363" t="s">
        <v>247</v>
      </c>
      <c r="C13" s="371">
        <f>D13+E13+G13+H13+I13+F13+J13</f>
        <v>567045.076</v>
      </c>
      <c r="D13" s="371">
        <v>70124.460000000006</v>
      </c>
      <c r="E13" s="371">
        <f>'59'!L18-F13-G13</f>
        <v>320647</v>
      </c>
      <c r="F13" s="371">
        <f>'59'!P18-G13</f>
        <v>106697.72500000001</v>
      </c>
      <c r="G13" s="371">
        <f>'BS huyen'!H93</f>
        <v>1882.3409999999999</v>
      </c>
      <c r="H13" s="371">
        <v>20302.16</v>
      </c>
      <c r="I13" s="371">
        <v>47391.39</v>
      </c>
      <c r="J13" s="371"/>
    </row>
    <row r="14" spans="1:12">
      <c r="A14" s="347">
        <v>6</v>
      </c>
      <c r="B14" s="363" t="s">
        <v>248</v>
      </c>
      <c r="C14" s="371">
        <f t="shared" si="1"/>
        <v>531074.02499999991</v>
      </c>
      <c r="D14" s="371">
        <f>51062+5865.3</f>
        <v>56927.3</v>
      </c>
      <c r="E14" s="371">
        <f>'59'!L19-F14-G14</f>
        <v>293330.99999999994</v>
      </c>
      <c r="F14" s="371">
        <f>'59'!P19-G14</f>
        <v>139881.74300000002</v>
      </c>
      <c r="G14" s="371">
        <f>'BS huyen'!I93</f>
        <v>2100.982</v>
      </c>
      <c r="H14" s="371">
        <v>32204</v>
      </c>
      <c r="I14" s="371">
        <v>6331</v>
      </c>
      <c r="J14" s="371">
        <v>298</v>
      </c>
    </row>
    <row r="15" spans="1:12">
      <c r="A15" s="347">
        <v>7</v>
      </c>
      <c r="B15" s="363" t="s">
        <v>251</v>
      </c>
      <c r="C15" s="371">
        <f t="shared" si="1"/>
        <v>344212.29800000001</v>
      </c>
      <c r="D15" s="371">
        <f>55062+6017.3</f>
        <v>61079.3</v>
      </c>
      <c r="E15" s="371">
        <f>'59'!L20-F15</f>
        <v>190979</v>
      </c>
      <c r="F15" s="371">
        <f>'59'!P20-G15</f>
        <v>64534.998</v>
      </c>
      <c r="G15" s="371">
        <f>'BS huyen'!M93</f>
        <v>0</v>
      </c>
      <c r="H15" s="371">
        <v>13611</v>
      </c>
      <c r="I15" s="371">
        <v>13508</v>
      </c>
      <c r="J15" s="371">
        <v>500</v>
      </c>
    </row>
    <row r="16" spans="1:12">
      <c r="A16" s="347">
        <v>8</v>
      </c>
      <c r="B16" s="363" t="s">
        <v>249</v>
      </c>
      <c r="C16" s="371">
        <f t="shared" si="1"/>
        <v>791294.50799999991</v>
      </c>
      <c r="D16" s="371">
        <f>13315+8498</f>
        <v>21813</v>
      </c>
      <c r="E16" s="371">
        <f>'59'!L21-F16</f>
        <v>411965.99999999994</v>
      </c>
      <c r="F16" s="371">
        <f>'59'!P21-G16</f>
        <v>321353.50799999997</v>
      </c>
      <c r="G16" s="371">
        <f>'BS huyen'!N93</f>
        <v>0</v>
      </c>
      <c r="H16" s="371">
        <v>26111</v>
      </c>
      <c r="I16" s="371">
        <v>10051</v>
      </c>
      <c r="J16" s="371"/>
    </row>
    <row r="17" spans="1:10">
      <c r="A17" s="347">
        <v>9</v>
      </c>
      <c r="B17" s="363" t="s">
        <v>250</v>
      </c>
      <c r="C17" s="371">
        <f t="shared" si="1"/>
        <v>967559.55099599995</v>
      </c>
      <c r="D17" s="371">
        <v>59574</v>
      </c>
      <c r="E17" s="371">
        <f>'59'!L22-F17</f>
        <v>587920</v>
      </c>
      <c r="F17" s="371">
        <f>'59'!P22-G17</f>
        <v>243228.55099600001</v>
      </c>
      <c r="G17" s="371">
        <f>'BS huyen'!L93</f>
        <v>0</v>
      </c>
      <c r="H17" s="371">
        <v>73409</v>
      </c>
      <c r="I17" s="371">
        <v>3428</v>
      </c>
      <c r="J17" s="371"/>
    </row>
    <row r="18" spans="1:10">
      <c r="A18" s="347">
        <v>10</v>
      </c>
      <c r="B18" s="363" t="s">
        <v>252</v>
      </c>
      <c r="C18" s="371">
        <f t="shared" si="1"/>
        <v>42649</v>
      </c>
      <c r="D18" s="371">
        <v>816</v>
      </c>
      <c r="E18" s="371">
        <f>'59'!L23-F18</f>
        <v>23937</v>
      </c>
      <c r="F18" s="371">
        <f>'59'!P23-G18</f>
        <v>14261</v>
      </c>
      <c r="G18" s="371">
        <f>'BS huyen'!O93</f>
        <v>0</v>
      </c>
      <c r="H18" s="371">
        <v>1137</v>
      </c>
      <c r="I18" s="371">
        <v>2498</v>
      </c>
      <c r="J18" s="371"/>
    </row>
    <row r="19" spans="1:10">
      <c r="A19" s="342"/>
    </row>
  </sheetData>
  <mergeCells count="6">
    <mergeCell ref="A5:A6"/>
    <mergeCell ref="B5:B6"/>
    <mergeCell ref="C5:C6"/>
    <mergeCell ref="D5:J5"/>
    <mergeCell ref="A3:J3"/>
    <mergeCell ref="A2:J2"/>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15"/>
  <sheetViews>
    <sheetView workbookViewId="0">
      <pane xSplit="2" ySplit="5" topLeftCell="E81" activePane="bottomRight" state="frozen"/>
      <selection pane="topRight" activeCell="C1" sqref="C1"/>
      <selection pane="bottomLeft" activeCell="A6" sqref="A6"/>
      <selection pane="bottomRight" activeCell="H117" sqref="H117"/>
    </sheetView>
  </sheetViews>
  <sheetFormatPr defaultRowHeight="15"/>
  <cols>
    <col min="1" max="1" width="6.25" style="177" customWidth="1"/>
    <col min="2" max="2" width="21" style="178" customWidth="1"/>
    <col min="3" max="3" width="7.75" style="178" customWidth="1"/>
    <col min="4" max="4" width="25.75" style="178" customWidth="1"/>
    <col min="5" max="5" width="12.25" style="178" customWidth="1"/>
    <col min="6" max="7" width="11" style="178" customWidth="1"/>
    <col min="8" max="8" width="11.75" style="178" customWidth="1"/>
    <col min="9" max="9" width="9.625" style="178" customWidth="1"/>
    <col min="10" max="10" width="11.75" style="178" customWidth="1"/>
    <col min="11" max="11" width="10.375" style="178" customWidth="1"/>
    <col min="12" max="14" width="9.875" style="178" bestFit="1" customWidth="1"/>
    <col min="15" max="15" width="10.875" style="178" customWidth="1"/>
    <col min="16" max="16384" width="9" style="178"/>
  </cols>
  <sheetData>
    <row r="1" spans="1:16" ht="18.75">
      <c r="J1" s="1208" t="s">
        <v>970</v>
      </c>
      <c r="K1" s="1209"/>
    </row>
    <row r="2" spans="1:16" ht="21.75" customHeight="1">
      <c r="A2" s="1210" t="s">
        <v>971</v>
      </c>
      <c r="B2" s="1211"/>
      <c r="C2" s="1211"/>
      <c r="D2" s="1211"/>
      <c r="E2" s="1211"/>
      <c r="F2" s="1211"/>
      <c r="G2" s="1211"/>
      <c r="H2" s="1211"/>
      <c r="I2" s="1211"/>
      <c r="J2" s="1211"/>
      <c r="K2" s="1211"/>
      <c r="L2" s="179"/>
      <c r="M2" s="179"/>
      <c r="N2" s="179"/>
    </row>
    <row r="3" spans="1:16" s="181" customFormat="1" ht="25.5" customHeight="1">
      <c r="A3" s="180"/>
      <c r="B3" s="180"/>
      <c r="C3" s="180"/>
      <c r="D3" s="180"/>
      <c r="E3" s="180"/>
      <c r="F3" s="180"/>
      <c r="G3" s="180"/>
      <c r="H3" s="180"/>
      <c r="I3" s="180"/>
      <c r="J3" s="180"/>
      <c r="K3" s="180"/>
      <c r="L3" s="180"/>
      <c r="M3" s="180"/>
      <c r="N3" s="180"/>
      <c r="O3" s="180"/>
    </row>
    <row r="4" spans="1:16" s="181" customFormat="1" ht="15.75">
      <c r="C4" s="182"/>
      <c r="D4" s="182"/>
      <c r="E4" s="183">
        <f>E10-E12</f>
        <v>206438</v>
      </c>
      <c r="F4" s="184"/>
      <c r="G4" s="184"/>
      <c r="H4" s="184"/>
      <c r="I4" s="184"/>
      <c r="J4" s="184"/>
      <c r="K4" s="184"/>
      <c r="L4" s="184"/>
      <c r="M4" s="184"/>
      <c r="N4" s="184"/>
      <c r="O4" s="185" t="s">
        <v>972</v>
      </c>
    </row>
    <row r="5" spans="1:16" s="189" customFormat="1" ht="50.25" customHeight="1">
      <c r="A5" s="186" t="s">
        <v>3</v>
      </c>
      <c r="B5" s="187" t="s">
        <v>973</v>
      </c>
      <c r="C5" s="187" t="s">
        <v>974</v>
      </c>
      <c r="D5" s="186" t="s">
        <v>975</v>
      </c>
      <c r="E5" s="188" t="s">
        <v>153</v>
      </c>
      <c r="F5" s="230" t="s">
        <v>1169</v>
      </c>
      <c r="G5" s="230" t="s">
        <v>1170</v>
      </c>
      <c r="H5" s="188" t="s">
        <v>976</v>
      </c>
      <c r="I5" s="230" t="s">
        <v>1171</v>
      </c>
      <c r="J5" s="188" t="s">
        <v>977</v>
      </c>
      <c r="K5" s="188" t="s">
        <v>978</v>
      </c>
      <c r="L5" s="188" t="s">
        <v>979</v>
      </c>
      <c r="M5" s="188" t="s">
        <v>980</v>
      </c>
      <c r="N5" s="188" t="s">
        <v>981</v>
      </c>
      <c r="O5" s="188" t="s">
        <v>982</v>
      </c>
    </row>
    <row r="6" spans="1:16" s="189" customFormat="1" ht="50.25" customHeight="1">
      <c r="A6" s="186" t="s">
        <v>9</v>
      </c>
      <c r="B6" s="190" t="s">
        <v>983</v>
      </c>
      <c r="C6" s="191"/>
      <c r="D6" s="191"/>
      <c r="E6" s="192">
        <f t="shared" ref="E6:O6" si="0">E7+E9</f>
        <v>2752313.1463000001</v>
      </c>
      <c r="F6" s="192">
        <f t="shared" si="0"/>
        <v>82305.244999999995</v>
      </c>
      <c r="G6" s="192">
        <f t="shared" si="0"/>
        <v>102116.954</v>
      </c>
      <c r="H6" s="192">
        <f t="shared" si="0"/>
        <v>345979.47600000002</v>
      </c>
      <c r="I6" s="192">
        <f t="shared" si="0"/>
        <v>386835.79700000002</v>
      </c>
      <c r="J6" s="192">
        <f t="shared" si="0"/>
        <v>373270.81199999998</v>
      </c>
      <c r="K6" s="192">
        <f t="shared" si="0"/>
        <v>348191.02549999999</v>
      </c>
      <c r="L6" s="192">
        <f t="shared" si="0"/>
        <v>520946.37</v>
      </c>
      <c r="M6" s="192">
        <f t="shared" si="0"/>
        <v>203207.122</v>
      </c>
      <c r="N6" s="192">
        <f t="shared" si="0"/>
        <v>367446.28480000002</v>
      </c>
      <c r="O6" s="192">
        <f t="shared" si="0"/>
        <v>22014.06</v>
      </c>
    </row>
    <row r="7" spans="1:16" s="196" customFormat="1" ht="27.75" customHeight="1">
      <c r="A7" s="193" t="s">
        <v>14</v>
      </c>
      <c r="B7" s="194" t="s">
        <v>984</v>
      </c>
      <c r="C7" s="193"/>
      <c r="D7" s="193"/>
      <c r="E7" s="195">
        <f>E8</f>
        <v>2315756</v>
      </c>
      <c r="F7" s="195">
        <f t="shared" ref="F7:O7" si="1">F8</f>
        <v>67688</v>
      </c>
      <c r="G7" s="195">
        <f t="shared" si="1"/>
        <v>95663</v>
      </c>
      <c r="H7" s="195">
        <f t="shared" si="1"/>
        <v>294263</v>
      </c>
      <c r="I7" s="195">
        <f t="shared" si="1"/>
        <v>340535</v>
      </c>
      <c r="J7" s="195">
        <f t="shared" si="1"/>
        <v>309787</v>
      </c>
      <c r="K7" s="195">
        <f t="shared" si="1"/>
        <v>291709</v>
      </c>
      <c r="L7" s="195">
        <f t="shared" si="1"/>
        <v>440665</v>
      </c>
      <c r="M7" s="195">
        <f t="shared" si="1"/>
        <v>175918</v>
      </c>
      <c r="N7" s="195">
        <f t="shared" si="1"/>
        <v>280646</v>
      </c>
      <c r="O7" s="195">
        <f t="shared" si="1"/>
        <v>18882</v>
      </c>
    </row>
    <row r="8" spans="1:16" s="181" customFormat="1" ht="28.5" customHeight="1">
      <c r="A8" s="197">
        <v>1</v>
      </c>
      <c r="B8" s="198" t="s">
        <v>985</v>
      </c>
      <c r="C8" s="199">
        <v>3195</v>
      </c>
      <c r="D8" s="199"/>
      <c r="E8" s="195">
        <f>SUM(F8:O8)</f>
        <v>2315756</v>
      </c>
      <c r="F8" s="231">
        <v>67688</v>
      </c>
      <c r="G8" s="231">
        <v>95663</v>
      </c>
      <c r="H8" s="231">
        <v>294263</v>
      </c>
      <c r="I8" s="231">
        <v>340535</v>
      </c>
      <c r="J8" s="231">
        <v>309787</v>
      </c>
      <c r="K8" s="231">
        <v>291709</v>
      </c>
      <c r="L8" s="231">
        <v>440665</v>
      </c>
      <c r="M8" s="231">
        <v>175918</v>
      </c>
      <c r="N8" s="231">
        <v>280646</v>
      </c>
      <c r="O8" s="231">
        <v>18882</v>
      </c>
      <c r="P8" s="181">
        <v>1000000</v>
      </c>
    </row>
    <row r="9" spans="1:16" s="189" customFormat="1" ht="28.5" customHeight="1">
      <c r="A9" s="186" t="s">
        <v>19</v>
      </c>
      <c r="B9" s="191" t="s">
        <v>986</v>
      </c>
      <c r="C9" s="186"/>
      <c r="D9" s="186"/>
      <c r="E9" s="195">
        <f t="shared" ref="E9:O9" si="2">SUM(E21:E130)</f>
        <v>436557.14630000002</v>
      </c>
      <c r="F9" s="201">
        <f t="shared" si="2"/>
        <v>14617.245000000001</v>
      </c>
      <c r="G9" s="201">
        <f t="shared" si="2"/>
        <v>6453.9540000000006</v>
      </c>
      <c r="H9" s="201">
        <f t="shared" si="2"/>
        <v>51716.476000000002</v>
      </c>
      <c r="I9" s="201">
        <f t="shared" si="2"/>
        <v>46300.796999999991</v>
      </c>
      <c r="J9" s="201">
        <f t="shared" si="2"/>
        <v>63483.811999999998</v>
      </c>
      <c r="K9" s="201">
        <f t="shared" si="2"/>
        <v>56482.025500000003</v>
      </c>
      <c r="L9" s="201">
        <f t="shared" si="2"/>
        <v>80281.37</v>
      </c>
      <c r="M9" s="201">
        <f t="shared" si="2"/>
        <v>27289.121999999996</v>
      </c>
      <c r="N9" s="201">
        <f t="shared" si="2"/>
        <v>86800.284800000009</v>
      </c>
      <c r="O9" s="201">
        <f t="shared" si="2"/>
        <v>3132.06</v>
      </c>
    </row>
    <row r="10" spans="1:16" s="182" customFormat="1" ht="21.75" customHeight="1">
      <c r="A10" s="197"/>
      <c r="B10" s="232" t="s">
        <v>1140</v>
      </c>
      <c r="C10" s="197"/>
      <c r="D10" s="197"/>
      <c r="E10" s="233">
        <f>E11+E15</f>
        <v>222738</v>
      </c>
      <c r="F10" s="233">
        <f t="shared" ref="F10:O10" si="3">F11+F15</f>
        <v>15</v>
      </c>
      <c r="G10" s="233">
        <f t="shared" si="3"/>
        <v>1108</v>
      </c>
      <c r="H10" s="233">
        <f t="shared" si="3"/>
        <v>16370.344000000001</v>
      </c>
      <c r="I10" s="233">
        <f t="shared" si="3"/>
        <v>21174.690000000002</v>
      </c>
      <c r="J10" s="233">
        <f t="shared" si="3"/>
        <v>30851.95</v>
      </c>
      <c r="K10" s="233">
        <f t="shared" si="3"/>
        <v>27257</v>
      </c>
      <c r="L10" s="233">
        <f t="shared" si="3"/>
        <v>48350</v>
      </c>
      <c r="M10" s="233">
        <f t="shared" si="3"/>
        <v>11968.05</v>
      </c>
      <c r="N10" s="233">
        <f t="shared" si="3"/>
        <v>64342.966</v>
      </c>
      <c r="O10" s="233">
        <f t="shared" si="3"/>
        <v>1300</v>
      </c>
    </row>
    <row r="11" spans="1:16" s="182" customFormat="1" ht="22.5" customHeight="1">
      <c r="A11" s="197"/>
      <c r="B11" s="232" t="s">
        <v>1141</v>
      </c>
      <c r="C11" s="197"/>
      <c r="D11" s="197"/>
      <c r="E11" s="233">
        <f t="shared" ref="E11:E18" si="4">SUM(F11:O11)</f>
        <v>118919</v>
      </c>
      <c r="F11" s="234">
        <f>F31+F32+F33+F34+F35+F36+F37+F38+F39+F40+F41+F66+F113+F114+F115</f>
        <v>0</v>
      </c>
      <c r="G11" s="234">
        <f t="shared" ref="G11:O11" si="5">G31+G32+G33+G34+G35+G36+G37+G38+G39+G40+G41+G66+G113+G114+G115</f>
        <v>1012</v>
      </c>
      <c r="H11" s="234">
        <f t="shared" si="5"/>
        <v>13003</v>
      </c>
      <c r="I11" s="234">
        <f t="shared" si="5"/>
        <v>13639</v>
      </c>
      <c r="J11" s="234">
        <f t="shared" si="5"/>
        <v>23200.95</v>
      </c>
      <c r="K11" s="234">
        <f t="shared" si="5"/>
        <v>17636</v>
      </c>
      <c r="L11" s="234">
        <f t="shared" si="5"/>
        <v>22506</v>
      </c>
      <c r="M11" s="234">
        <f t="shared" si="5"/>
        <v>11317.05</v>
      </c>
      <c r="N11" s="234">
        <f t="shared" si="5"/>
        <v>16605</v>
      </c>
      <c r="O11" s="234">
        <f t="shared" si="5"/>
        <v>0</v>
      </c>
    </row>
    <row r="12" spans="1:16" s="182" customFormat="1" ht="24" customHeight="1">
      <c r="A12" s="197"/>
      <c r="B12" s="232" t="s">
        <v>1172</v>
      </c>
      <c r="C12" s="197"/>
      <c r="D12" s="197"/>
      <c r="E12" s="233">
        <f t="shared" si="4"/>
        <v>16300</v>
      </c>
      <c r="F12" s="234">
        <f t="shared" ref="F12:O12" si="6">F31+F41</f>
        <v>0</v>
      </c>
      <c r="G12" s="234">
        <f t="shared" si="6"/>
        <v>300</v>
      </c>
      <c r="H12" s="234">
        <f t="shared" si="6"/>
        <v>2832</v>
      </c>
      <c r="I12" s="234">
        <f t="shared" si="6"/>
        <v>3136</v>
      </c>
      <c r="J12" s="234">
        <f t="shared" si="6"/>
        <v>5016.95</v>
      </c>
      <c r="K12" s="234">
        <f t="shared" si="6"/>
        <v>2589</v>
      </c>
      <c r="L12" s="234">
        <f t="shared" si="6"/>
        <v>308</v>
      </c>
      <c r="M12" s="234">
        <f t="shared" si="6"/>
        <v>2118.0500000000002</v>
      </c>
      <c r="N12" s="234">
        <f t="shared" si="6"/>
        <v>0</v>
      </c>
      <c r="O12" s="234">
        <f t="shared" si="6"/>
        <v>0</v>
      </c>
    </row>
    <row r="13" spans="1:16" s="182" customFormat="1" ht="22.5" customHeight="1">
      <c r="A13" s="197"/>
      <c r="B13" s="232" t="s">
        <v>1178</v>
      </c>
      <c r="C13" s="197"/>
      <c r="D13" s="197"/>
      <c r="E13" s="233">
        <f t="shared" si="4"/>
        <v>79980</v>
      </c>
      <c r="F13" s="234"/>
      <c r="G13" s="234">
        <v>282</v>
      </c>
      <c r="H13" s="234">
        <v>8178</v>
      </c>
      <c r="I13" s="234">
        <v>8460</v>
      </c>
      <c r="J13" s="234">
        <v>11158</v>
      </c>
      <c r="K13" s="234">
        <v>12542</v>
      </c>
      <c r="L13" s="234">
        <v>19740</v>
      </c>
      <c r="M13" s="234">
        <v>4956</v>
      </c>
      <c r="N13" s="234">
        <v>14664</v>
      </c>
      <c r="O13" s="234"/>
    </row>
    <row r="14" spans="1:16" s="182" customFormat="1" ht="22.5" customHeight="1">
      <c r="A14" s="197"/>
      <c r="B14" s="232" t="s">
        <v>1179</v>
      </c>
      <c r="C14" s="197"/>
      <c r="D14" s="197"/>
      <c r="E14" s="233">
        <f t="shared" si="4"/>
        <v>22639</v>
      </c>
      <c r="F14" s="234"/>
      <c r="G14" s="234">
        <f>G11-G12-G13</f>
        <v>430</v>
      </c>
      <c r="H14" s="234">
        <f t="shared" ref="H14:O14" si="7">H11-H12-H13</f>
        <v>1993</v>
      </c>
      <c r="I14" s="234">
        <f t="shared" si="7"/>
        <v>2043</v>
      </c>
      <c r="J14" s="234">
        <f t="shared" si="7"/>
        <v>7026</v>
      </c>
      <c r="K14" s="234">
        <f t="shared" si="7"/>
        <v>2505</v>
      </c>
      <c r="L14" s="234">
        <f t="shared" si="7"/>
        <v>2458</v>
      </c>
      <c r="M14" s="234">
        <f t="shared" si="7"/>
        <v>4243</v>
      </c>
      <c r="N14" s="234">
        <f t="shared" si="7"/>
        <v>1941</v>
      </c>
      <c r="O14" s="234">
        <f t="shared" si="7"/>
        <v>0</v>
      </c>
    </row>
    <row r="15" spans="1:16" s="182" customFormat="1" ht="21" customHeight="1">
      <c r="A15" s="197"/>
      <c r="B15" s="232" t="s">
        <v>1142</v>
      </c>
      <c r="C15" s="197"/>
      <c r="D15" s="197"/>
      <c r="E15" s="233">
        <f t="shared" si="4"/>
        <v>103819</v>
      </c>
      <c r="F15" s="234">
        <f>F46+F47+F48+F49+F50+F51+F52+F53+F54+F55+F56+F57+F58+F59+F111</f>
        <v>15</v>
      </c>
      <c r="G15" s="234">
        <f t="shared" ref="G15:O15" si="8">G46+G47+G48+G49+G50+G51+G52+G53+G54+G55+G56+G57+G58+G59+G111</f>
        <v>96</v>
      </c>
      <c r="H15" s="234">
        <f t="shared" si="8"/>
        <v>3367.3440000000001</v>
      </c>
      <c r="I15" s="234">
        <f t="shared" si="8"/>
        <v>7535.6900000000005</v>
      </c>
      <c r="J15" s="234">
        <f t="shared" si="8"/>
        <v>7651</v>
      </c>
      <c r="K15" s="234">
        <f t="shared" si="8"/>
        <v>9621</v>
      </c>
      <c r="L15" s="234">
        <f t="shared" si="8"/>
        <v>25844</v>
      </c>
      <c r="M15" s="234">
        <f t="shared" si="8"/>
        <v>651</v>
      </c>
      <c r="N15" s="234">
        <f t="shared" si="8"/>
        <v>47737.966</v>
      </c>
      <c r="O15" s="234">
        <f t="shared" si="8"/>
        <v>1300</v>
      </c>
    </row>
    <row r="16" spans="1:16" s="182" customFormat="1" ht="21" customHeight="1">
      <c r="A16" s="197"/>
      <c r="B16" s="232" t="s">
        <v>1178</v>
      </c>
      <c r="C16" s="197"/>
      <c r="D16" s="197"/>
      <c r="E16" s="233">
        <f t="shared" si="4"/>
        <v>73377</v>
      </c>
      <c r="F16" s="234"/>
      <c r="G16" s="234"/>
      <c r="H16" s="234">
        <v>2200</v>
      </c>
      <c r="I16" s="234">
        <v>4300</v>
      </c>
      <c r="J16" s="234">
        <v>5040</v>
      </c>
      <c r="K16" s="234">
        <v>6220</v>
      </c>
      <c r="L16" s="234">
        <v>18952</v>
      </c>
      <c r="M16" s="234">
        <v>200</v>
      </c>
      <c r="N16" s="234">
        <v>35465</v>
      </c>
      <c r="O16" s="234">
        <v>1000</v>
      </c>
    </row>
    <row r="17" spans="1:15" s="182" customFormat="1" ht="21" customHeight="1">
      <c r="A17" s="197"/>
      <c r="B17" s="232" t="s">
        <v>1179</v>
      </c>
      <c r="C17" s="197"/>
      <c r="D17" s="197"/>
      <c r="E17" s="233">
        <f t="shared" si="4"/>
        <v>30442</v>
      </c>
      <c r="F17" s="234">
        <f>F15-F16</f>
        <v>15</v>
      </c>
      <c r="G17" s="234">
        <f t="shared" ref="G17:O17" si="9">G15-G16</f>
        <v>96</v>
      </c>
      <c r="H17" s="234">
        <f t="shared" si="9"/>
        <v>1167.3440000000001</v>
      </c>
      <c r="I17" s="234">
        <f t="shared" si="9"/>
        <v>3235.6900000000005</v>
      </c>
      <c r="J17" s="234">
        <f t="shared" si="9"/>
        <v>2611</v>
      </c>
      <c r="K17" s="234">
        <f t="shared" si="9"/>
        <v>3401</v>
      </c>
      <c r="L17" s="234">
        <f t="shared" si="9"/>
        <v>6892</v>
      </c>
      <c r="M17" s="234">
        <f t="shared" si="9"/>
        <v>451</v>
      </c>
      <c r="N17" s="234">
        <f t="shared" si="9"/>
        <v>12272.966</v>
      </c>
      <c r="O17" s="234">
        <f t="shared" si="9"/>
        <v>300</v>
      </c>
    </row>
    <row r="18" spans="1:15" s="182" customFormat="1" ht="23.25" customHeight="1">
      <c r="A18" s="197"/>
      <c r="B18" s="232" t="s">
        <v>1143</v>
      </c>
      <c r="C18" s="197"/>
      <c r="D18" s="197"/>
      <c r="E18" s="233">
        <f t="shared" si="4"/>
        <v>7409.7289999999994</v>
      </c>
      <c r="F18" s="234">
        <f>F93</f>
        <v>0</v>
      </c>
      <c r="G18" s="234">
        <f t="shared" ref="G18:O18" si="10">G93</f>
        <v>0</v>
      </c>
      <c r="H18" s="234">
        <f t="shared" si="10"/>
        <v>1882.3409999999999</v>
      </c>
      <c r="I18" s="234">
        <f t="shared" si="10"/>
        <v>2100.982</v>
      </c>
      <c r="J18" s="234">
        <f t="shared" si="10"/>
        <v>0</v>
      </c>
      <c r="K18" s="234">
        <f t="shared" si="10"/>
        <v>3426.4059999999999</v>
      </c>
      <c r="L18" s="234">
        <f t="shared" si="10"/>
        <v>0</v>
      </c>
      <c r="M18" s="234">
        <f t="shared" si="10"/>
        <v>0</v>
      </c>
      <c r="N18" s="234">
        <f t="shared" si="10"/>
        <v>0</v>
      </c>
      <c r="O18" s="234">
        <f t="shared" si="10"/>
        <v>0</v>
      </c>
    </row>
    <row r="19" spans="1:15" s="182" customFormat="1" ht="24" customHeight="1">
      <c r="A19" s="197"/>
      <c r="B19" s="232"/>
      <c r="C19" s="197"/>
      <c r="D19" s="197"/>
      <c r="E19" s="233">
        <f t="shared" ref="E19:O19" si="11">E11-E12</f>
        <v>102619</v>
      </c>
      <c r="F19" s="233">
        <f t="shared" si="11"/>
        <v>0</v>
      </c>
      <c r="G19" s="233">
        <f t="shared" si="11"/>
        <v>712</v>
      </c>
      <c r="H19" s="233">
        <f t="shared" si="11"/>
        <v>10171</v>
      </c>
      <c r="I19" s="233">
        <f t="shared" si="11"/>
        <v>10503</v>
      </c>
      <c r="J19" s="233">
        <f t="shared" si="11"/>
        <v>18184</v>
      </c>
      <c r="K19" s="233">
        <f t="shared" si="11"/>
        <v>15047</v>
      </c>
      <c r="L19" s="233">
        <f t="shared" si="11"/>
        <v>22198</v>
      </c>
      <c r="M19" s="233">
        <f t="shared" si="11"/>
        <v>9199</v>
      </c>
      <c r="N19" s="233">
        <f t="shared" si="11"/>
        <v>16605</v>
      </c>
      <c r="O19" s="233">
        <f t="shared" si="11"/>
        <v>0</v>
      </c>
    </row>
    <row r="20" spans="1:15" s="189" customFormat="1" ht="21" customHeight="1">
      <c r="A20" s="186"/>
      <c r="B20" s="191"/>
      <c r="C20" s="186"/>
      <c r="D20" s="186"/>
      <c r="E20" s="195">
        <f>SUM(F20:O20)</f>
        <v>0</v>
      </c>
      <c r="F20" s="201"/>
      <c r="G20" s="201"/>
      <c r="H20" s="201"/>
      <c r="I20" s="201"/>
      <c r="J20" s="201"/>
      <c r="K20" s="201"/>
      <c r="L20" s="201"/>
      <c r="M20" s="201"/>
      <c r="N20" s="201"/>
      <c r="O20" s="201"/>
    </row>
    <row r="21" spans="1:15" s="181" customFormat="1" ht="27" customHeight="1">
      <c r="A21" s="197">
        <v>1</v>
      </c>
      <c r="B21" s="198" t="s">
        <v>985</v>
      </c>
      <c r="C21" s="199">
        <v>3195</v>
      </c>
      <c r="D21" s="199"/>
      <c r="E21" s="195">
        <f t="shared" ref="E21:E115" si="12">SUM(F21:O21)</f>
        <v>27090</v>
      </c>
      <c r="F21" s="200">
        <v>5984</v>
      </c>
      <c r="G21" s="200">
        <v>1814</v>
      </c>
      <c r="H21" s="200">
        <v>2324</v>
      </c>
      <c r="I21" s="200">
        <v>2036</v>
      </c>
      <c r="J21" s="200">
        <v>6840</v>
      </c>
      <c r="K21" s="200">
        <v>2004</v>
      </c>
      <c r="L21" s="200">
        <v>1548</v>
      </c>
      <c r="M21" s="200">
        <v>1648</v>
      </c>
      <c r="N21" s="200">
        <v>1892</v>
      </c>
      <c r="O21" s="200">
        <v>1000</v>
      </c>
    </row>
    <row r="22" spans="1:15" s="181" customFormat="1" ht="51.75" customHeight="1">
      <c r="A22" s="197">
        <f>A21+1</f>
        <v>2</v>
      </c>
      <c r="B22" s="202" t="s">
        <v>987</v>
      </c>
      <c r="C22" s="199">
        <v>609</v>
      </c>
      <c r="D22" s="199" t="s">
        <v>988</v>
      </c>
      <c r="E22" s="195">
        <f t="shared" si="12"/>
        <v>1209.1680000000001</v>
      </c>
      <c r="F22" s="200">
        <v>0</v>
      </c>
      <c r="G22" s="200">
        <v>0</v>
      </c>
      <c r="H22" s="200">
        <v>0</v>
      </c>
      <c r="I22" s="200">
        <v>0</v>
      </c>
      <c r="J22" s="200">
        <v>760.86800000000005</v>
      </c>
      <c r="K22" s="200">
        <v>448.3</v>
      </c>
      <c r="L22" s="200">
        <v>0</v>
      </c>
      <c r="M22" s="200">
        <v>0</v>
      </c>
      <c r="N22" s="200">
        <v>0</v>
      </c>
      <c r="O22" s="200">
        <v>0</v>
      </c>
    </row>
    <row r="23" spans="1:15" s="181" customFormat="1" ht="36.75" customHeight="1">
      <c r="A23" s="197">
        <f t="shared" ref="A23:A78" si="13">A22+1</f>
        <v>3</v>
      </c>
      <c r="B23" s="202" t="s">
        <v>989</v>
      </c>
      <c r="C23" s="199">
        <v>413</v>
      </c>
      <c r="D23" s="199" t="s">
        <v>990</v>
      </c>
      <c r="E23" s="195">
        <f t="shared" si="12"/>
        <v>13449.540000000003</v>
      </c>
      <c r="F23" s="200">
        <v>0</v>
      </c>
      <c r="G23" s="200">
        <v>70.599999999999994</v>
      </c>
      <c r="H23" s="200">
        <v>2282.8200000000002</v>
      </c>
      <c r="I23" s="200">
        <v>2829.26</v>
      </c>
      <c r="J23" s="200">
        <v>2657.12</v>
      </c>
      <c r="K23" s="200">
        <v>2720.49</v>
      </c>
      <c r="L23" s="200">
        <v>2042.13</v>
      </c>
      <c r="M23" s="200">
        <v>406.25</v>
      </c>
      <c r="N23" s="200">
        <v>440.87</v>
      </c>
      <c r="O23" s="200">
        <v>0</v>
      </c>
    </row>
    <row r="24" spans="1:15" s="181" customFormat="1" ht="77.25" customHeight="1">
      <c r="A24" s="197">
        <f t="shared" si="13"/>
        <v>4</v>
      </c>
      <c r="B24" s="202" t="s">
        <v>991</v>
      </c>
      <c r="C24" s="199">
        <v>476</v>
      </c>
      <c r="D24" s="199" t="s">
        <v>992</v>
      </c>
      <c r="E24" s="195">
        <f t="shared" si="12"/>
        <v>1402.0059999999999</v>
      </c>
      <c r="F24" s="200">
        <v>4</v>
      </c>
      <c r="G24" s="200">
        <v>0</v>
      </c>
      <c r="H24" s="200">
        <f>(18294000+324006000)/1000000</f>
        <v>342.3</v>
      </c>
      <c r="I24" s="200">
        <v>790.3</v>
      </c>
      <c r="J24" s="200">
        <v>205.70599999999999</v>
      </c>
      <c r="K24" s="200">
        <v>59.7</v>
      </c>
      <c r="L24" s="200">
        <v>0</v>
      </c>
      <c r="M24" s="200">
        <v>0</v>
      </c>
      <c r="N24" s="200">
        <v>0</v>
      </c>
      <c r="O24" s="200">
        <v>0</v>
      </c>
    </row>
    <row r="25" spans="1:15" s="181" customFormat="1" ht="66" customHeight="1">
      <c r="A25" s="197">
        <f t="shared" si="13"/>
        <v>5</v>
      </c>
      <c r="B25" s="202" t="s">
        <v>993</v>
      </c>
      <c r="C25" s="199">
        <v>133</v>
      </c>
      <c r="D25" s="199" t="s">
        <v>994</v>
      </c>
      <c r="E25" s="195">
        <f t="shared" si="12"/>
        <v>4433.99</v>
      </c>
      <c r="F25" s="200">
        <v>0</v>
      </c>
      <c r="G25" s="200">
        <v>0</v>
      </c>
      <c r="H25" s="200">
        <v>0</v>
      </c>
      <c r="I25" s="200">
        <v>0</v>
      </c>
      <c r="J25" s="200">
        <v>0</v>
      </c>
      <c r="K25" s="200">
        <v>0</v>
      </c>
      <c r="L25" s="200">
        <v>4433.99</v>
      </c>
      <c r="M25" s="200">
        <v>0</v>
      </c>
      <c r="N25" s="200">
        <v>0</v>
      </c>
      <c r="O25" s="200">
        <v>0</v>
      </c>
    </row>
    <row r="26" spans="1:15" s="181" customFormat="1" ht="48.75" customHeight="1">
      <c r="A26" s="197">
        <f t="shared" si="13"/>
        <v>6</v>
      </c>
      <c r="B26" s="202" t="s">
        <v>995</v>
      </c>
      <c r="C26" s="199">
        <v>427</v>
      </c>
      <c r="D26" s="199" t="s">
        <v>996</v>
      </c>
      <c r="E26" s="195">
        <f t="shared" si="12"/>
        <v>22500</v>
      </c>
      <c r="F26" s="200">
        <v>3000</v>
      </c>
      <c r="G26" s="200">
        <v>0</v>
      </c>
      <c r="H26" s="200">
        <v>1000</v>
      </c>
      <c r="I26" s="200">
        <v>1500</v>
      </c>
      <c r="J26" s="200">
        <v>1500</v>
      </c>
      <c r="K26" s="200">
        <v>2000</v>
      </c>
      <c r="L26" s="200">
        <v>1000</v>
      </c>
      <c r="M26" s="200">
        <v>7500</v>
      </c>
      <c r="N26" s="200">
        <v>5000</v>
      </c>
      <c r="O26" s="200">
        <v>0</v>
      </c>
    </row>
    <row r="27" spans="1:15" s="207" customFormat="1" ht="48.75" customHeight="1">
      <c r="A27" s="203"/>
      <c r="B27" s="204" t="s">
        <v>997</v>
      </c>
      <c r="C27" s="205">
        <v>586</v>
      </c>
      <c r="D27" s="205" t="s">
        <v>998</v>
      </c>
      <c r="E27" s="206">
        <f t="shared" si="12"/>
        <v>367.48</v>
      </c>
      <c r="F27" s="200">
        <v>0</v>
      </c>
      <c r="G27" s="200">
        <v>0</v>
      </c>
      <c r="H27" s="200">
        <v>0</v>
      </c>
      <c r="I27" s="200">
        <v>0</v>
      </c>
      <c r="J27" s="200">
        <v>0</v>
      </c>
      <c r="K27" s="200">
        <v>0</v>
      </c>
      <c r="L27" s="200">
        <v>293.69</v>
      </c>
      <c r="M27" s="200">
        <v>0</v>
      </c>
      <c r="N27" s="200">
        <v>73.790000000000006</v>
      </c>
      <c r="O27" s="200">
        <v>0</v>
      </c>
    </row>
    <row r="28" spans="1:15" s="181" customFormat="1" ht="58.5" customHeight="1">
      <c r="A28" s="197">
        <f>A26+1</f>
        <v>7</v>
      </c>
      <c r="B28" s="202" t="s">
        <v>999</v>
      </c>
      <c r="C28" s="199">
        <v>654</v>
      </c>
      <c r="D28" s="199" t="s">
        <v>1000</v>
      </c>
      <c r="E28" s="195">
        <f t="shared" si="12"/>
        <v>50</v>
      </c>
      <c r="F28" s="200">
        <v>0</v>
      </c>
      <c r="G28" s="200">
        <v>0</v>
      </c>
      <c r="H28" s="200">
        <v>0</v>
      </c>
      <c r="I28" s="200">
        <v>0</v>
      </c>
      <c r="J28" s="200">
        <v>0</v>
      </c>
      <c r="K28" s="200">
        <v>50</v>
      </c>
      <c r="L28" s="200">
        <v>0</v>
      </c>
      <c r="M28" s="200">
        <v>0</v>
      </c>
      <c r="N28" s="200">
        <v>0</v>
      </c>
      <c r="O28" s="200">
        <v>0</v>
      </c>
    </row>
    <row r="29" spans="1:15" s="181" customFormat="1" ht="43.5" customHeight="1">
      <c r="A29" s="197">
        <f t="shared" si="13"/>
        <v>8</v>
      </c>
      <c r="B29" s="202" t="s">
        <v>1001</v>
      </c>
      <c r="C29" s="199">
        <v>668</v>
      </c>
      <c r="D29" s="199" t="s">
        <v>1002</v>
      </c>
      <c r="E29" s="195">
        <f t="shared" si="12"/>
        <v>15087.736000000001</v>
      </c>
      <c r="F29" s="200">
        <v>622.08399999999995</v>
      </c>
      <c r="G29" s="200">
        <v>0</v>
      </c>
      <c r="H29" s="200">
        <v>7329.2370000000001</v>
      </c>
      <c r="I29" s="200">
        <v>1005.542</v>
      </c>
      <c r="J29" s="200">
        <v>2825.7420000000002</v>
      </c>
      <c r="K29" s="200">
        <v>727.81399999999996</v>
      </c>
      <c r="L29" s="200">
        <v>1274.8119999999999</v>
      </c>
      <c r="M29" s="200">
        <v>613.67999999999995</v>
      </c>
      <c r="N29" s="200">
        <v>688.82500000000005</v>
      </c>
      <c r="O29" s="200">
        <v>0</v>
      </c>
    </row>
    <row r="30" spans="1:15" s="181" customFormat="1" ht="69.75" customHeight="1">
      <c r="A30" s="197">
        <f t="shared" si="13"/>
        <v>9</v>
      </c>
      <c r="B30" s="202" t="s">
        <v>1003</v>
      </c>
      <c r="C30" s="199">
        <v>740</v>
      </c>
      <c r="D30" s="208" t="s">
        <v>1004</v>
      </c>
      <c r="E30" s="195">
        <f t="shared" si="12"/>
        <v>200</v>
      </c>
      <c r="F30" s="200">
        <v>0</v>
      </c>
      <c r="G30" s="200">
        <v>0</v>
      </c>
      <c r="H30" s="200">
        <v>0</v>
      </c>
      <c r="I30" s="200">
        <v>0</v>
      </c>
      <c r="J30" s="200">
        <v>0</v>
      </c>
      <c r="K30" s="200">
        <v>0</v>
      </c>
      <c r="L30" s="200">
        <v>0</v>
      </c>
      <c r="M30" s="200">
        <v>0</v>
      </c>
      <c r="N30" s="200">
        <v>200</v>
      </c>
      <c r="O30" s="200">
        <v>0</v>
      </c>
    </row>
    <row r="31" spans="1:15" s="181" customFormat="1" ht="61.5" customHeight="1">
      <c r="A31" s="197">
        <f t="shared" si="13"/>
        <v>10</v>
      </c>
      <c r="B31" s="202" t="s">
        <v>1005</v>
      </c>
      <c r="C31" s="199">
        <v>648</v>
      </c>
      <c r="D31" s="199" t="s">
        <v>1006</v>
      </c>
      <c r="E31" s="195">
        <f t="shared" si="12"/>
        <v>14755.05</v>
      </c>
      <c r="F31" s="200">
        <v>0</v>
      </c>
      <c r="G31" s="200">
        <v>300</v>
      </c>
      <c r="H31" s="200">
        <v>2216</v>
      </c>
      <c r="I31" s="200">
        <v>3136</v>
      </c>
      <c r="J31" s="200">
        <v>4704</v>
      </c>
      <c r="K31" s="200">
        <v>2281</v>
      </c>
      <c r="L31" s="200">
        <v>0</v>
      </c>
      <c r="M31" s="200">
        <v>2118.0500000000002</v>
      </c>
      <c r="N31" s="200">
        <v>0</v>
      </c>
      <c r="O31" s="200">
        <v>0</v>
      </c>
    </row>
    <row r="32" spans="1:15" s="181" customFormat="1" ht="54.75" customHeight="1">
      <c r="A32" s="197">
        <f t="shared" si="13"/>
        <v>11</v>
      </c>
      <c r="B32" s="202" t="s">
        <v>1005</v>
      </c>
      <c r="C32" s="199">
        <v>648</v>
      </c>
      <c r="D32" s="199" t="s">
        <v>1007</v>
      </c>
      <c r="E32" s="195">
        <f t="shared" si="12"/>
        <v>76000</v>
      </c>
      <c r="F32" s="200">
        <v>0</v>
      </c>
      <c r="G32" s="200">
        <v>282</v>
      </c>
      <c r="H32" s="200">
        <v>8178</v>
      </c>
      <c r="I32" s="200">
        <v>8460</v>
      </c>
      <c r="J32" s="200">
        <v>9312</v>
      </c>
      <c r="K32" s="200">
        <v>11562</v>
      </c>
      <c r="L32" s="200">
        <v>19740</v>
      </c>
      <c r="M32" s="200">
        <v>3802</v>
      </c>
      <c r="N32" s="200">
        <v>14664</v>
      </c>
      <c r="O32" s="200">
        <v>0</v>
      </c>
    </row>
    <row r="33" spans="1:15" s="181" customFormat="1" ht="61.5" customHeight="1">
      <c r="A33" s="197">
        <f t="shared" si="13"/>
        <v>12</v>
      </c>
      <c r="B33" s="202" t="s">
        <v>1005</v>
      </c>
      <c r="C33" s="199">
        <v>648</v>
      </c>
      <c r="D33" s="199" t="s">
        <v>1008</v>
      </c>
      <c r="E33" s="195">
        <f t="shared" si="12"/>
        <v>2500</v>
      </c>
      <c r="F33" s="200">
        <v>0</v>
      </c>
      <c r="G33" s="200">
        <v>160</v>
      </c>
      <c r="H33" s="200">
        <v>370</v>
      </c>
      <c r="I33" s="200">
        <v>320</v>
      </c>
      <c r="J33" s="200">
        <v>320</v>
      </c>
      <c r="K33" s="200">
        <v>300</v>
      </c>
      <c r="L33" s="200">
        <v>370</v>
      </c>
      <c r="M33" s="200">
        <v>340</v>
      </c>
      <c r="N33" s="200">
        <v>320</v>
      </c>
      <c r="O33" s="200">
        <v>0</v>
      </c>
    </row>
    <row r="34" spans="1:15" s="181" customFormat="1" ht="62.25" customHeight="1">
      <c r="A34" s="197">
        <f t="shared" si="13"/>
        <v>13</v>
      </c>
      <c r="B34" s="202" t="s">
        <v>1005</v>
      </c>
      <c r="C34" s="199">
        <v>648</v>
      </c>
      <c r="D34" s="199" t="s">
        <v>1009</v>
      </c>
      <c r="E34" s="195">
        <f t="shared" si="12"/>
        <v>2500</v>
      </c>
      <c r="F34" s="200">
        <v>0</v>
      </c>
      <c r="G34" s="200">
        <v>50</v>
      </c>
      <c r="H34" s="200">
        <v>350</v>
      </c>
      <c r="I34" s="200">
        <v>350</v>
      </c>
      <c r="J34" s="200">
        <v>350</v>
      </c>
      <c r="K34" s="200">
        <v>300</v>
      </c>
      <c r="L34" s="200">
        <v>450</v>
      </c>
      <c r="M34" s="200">
        <v>250</v>
      </c>
      <c r="N34" s="200">
        <v>400</v>
      </c>
      <c r="O34" s="200">
        <v>0</v>
      </c>
    </row>
    <row r="35" spans="1:15" s="181" customFormat="1" ht="66" customHeight="1">
      <c r="A35" s="197">
        <f t="shared" si="13"/>
        <v>14</v>
      </c>
      <c r="B35" s="202" t="s">
        <v>1005</v>
      </c>
      <c r="C35" s="199">
        <v>648</v>
      </c>
      <c r="D35" s="199" t="s">
        <v>1010</v>
      </c>
      <c r="E35" s="195">
        <f t="shared" si="12"/>
        <v>1000</v>
      </c>
      <c r="F35" s="200">
        <v>0</v>
      </c>
      <c r="G35" s="200">
        <v>0</v>
      </c>
      <c r="H35" s="200">
        <v>0</v>
      </c>
      <c r="I35" s="200">
        <v>0</v>
      </c>
      <c r="J35" s="200">
        <v>0</v>
      </c>
      <c r="K35" s="200">
        <v>0</v>
      </c>
      <c r="L35" s="200">
        <v>500</v>
      </c>
      <c r="M35" s="200">
        <v>0</v>
      </c>
      <c r="N35" s="200">
        <v>500</v>
      </c>
      <c r="O35" s="200">
        <v>0</v>
      </c>
    </row>
    <row r="36" spans="1:15" s="181" customFormat="1" ht="55.5" customHeight="1">
      <c r="A36" s="197">
        <f t="shared" si="13"/>
        <v>15</v>
      </c>
      <c r="B36" s="202" t="s">
        <v>1005</v>
      </c>
      <c r="C36" s="199">
        <v>648</v>
      </c>
      <c r="D36" s="199" t="s">
        <v>1011</v>
      </c>
      <c r="E36" s="195">
        <f t="shared" si="12"/>
        <v>4625</v>
      </c>
      <c r="F36" s="200">
        <v>0</v>
      </c>
      <c r="G36" s="200">
        <v>0</v>
      </c>
      <c r="H36" s="200">
        <v>0</v>
      </c>
      <c r="I36" s="200">
        <v>0</v>
      </c>
      <c r="J36" s="200">
        <v>950</v>
      </c>
      <c r="K36" s="200">
        <v>950</v>
      </c>
      <c r="L36" s="200">
        <v>0</v>
      </c>
      <c r="M36" s="200">
        <v>2725</v>
      </c>
      <c r="N36" s="200">
        <v>0</v>
      </c>
      <c r="O36" s="200">
        <v>0</v>
      </c>
    </row>
    <row r="37" spans="1:15" s="181" customFormat="1" ht="73.5" customHeight="1">
      <c r="A37" s="197">
        <f t="shared" si="13"/>
        <v>16</v>
      </c>
      <c r="B37" s="202" t="s">
        <v>1005</v>
      </c>
      <c r="C37" s="199">
        <v>648</v>
      </c>
      <c r="D37" s="199" t="s">
        <v>1012</v>
      </c>
      <c r="E37" s="195">
        <f t="shared" si="12"/>
        <v>1334</v>
      </c>
      <c r="F37" s="200">
        <v>0</v>
      </c>
      <c r="G37" s="200">
        <v>55</v>
      </c>
      <c r="H37" s="200">
        <v>196</v>
      </c>
      <c r="I37" s="200">
        <v>163</v>
      </c>
      <c r="J37" s="200">
        <v>255</v>
      </c>
      <c r="K37" s="200">
        <v>195</v>
      </c>
      <c r="L37" s="200">
        <v>171</v>
      </c>
      <c r="M37" s="200">
        <v>185</v>
      </c>
      <c r="N37" s="200">
        <v>114</v>
      </c>
      <c r="O37" s="200">
        <v>0</v>
      </c>
    </row>
    <row r="38" spans="1:15" s="181" customFormat="1" ht="48" customHeight="1">
      <c r="A38" s="197"/>
      <c r="B38" s="202" t="s">
        <v>1005</v>
      </c>
      <c r="C38" s="199">
        <v>648</v>
      </c>
      <c r="D38" s="199" t="s">
        <v>1013</v>
      </c>
      <c r="E38" s="195">
        <f t="shared" si="12"/>
        <v>1755</v>
      </c>
      <c r="F38" s="200">
        <v>0</v>
      </c>
      <c r="G38" s="200">
        <v>15</v>
      </c>
      <c r="H38" s="200">
        <v>285</v>
      </c>
      <c r="I38" s="200">
        <v>270</v>
      </c>
      <c r="J38" s="200">
        <v>285</v>
      </c>
      <c r="K38" s="200">
        <v>285</v>
      </c>
      <c r="L38" s="200">
        <v>300</v>
      </c>
      <c r="M38" s="200">
        <v>120</v>
      </c>
      <c r="N38" s="200">
        <v>195</v>
      </c>
      <c r="O38" s="200">
        <v>0</v>
      </c>
    </row>
    <row r="39" spans="1:15" s="181" customFormat="1" ht="108.75" customHeight="1">
      <c r="A39" s="197"/>
      <c r="B39" s="202" t="s">
        <v>1014</v>
      </c>
      <c r="C39" s="199">
        <v>2174</v>
      </c>
      <c r="D39" s="199" t="s">
        <v>1015</v>
      </c>
      <c r="E39" s="195">
        <f t="shared" si="12"/>
        <v>3980</v>
      </c>
      <c r="F39" s="200">
        <v>0</v>
      </c>
      <c r="G39" s="200">
        <v>0</v>
      </c>
      <c r="H39" s="200">
        <v>0</v>
      </c>
      <c r="I39" s="200">
        <v>0</v>
      </c>
      <c r="J39" s="200">
        <v>1846</v>
      </c>
      <c r="K39" s="200">
        <v>980</v>
      </c>
      <c r="L39" s="200">
        <v>0</v>
      </c>
      <c r="M39" s="200">
        <v>1154</v>
      </c>
      <c r="N39" s="200">
        <v>0</v>
      </c>
      <c r="O39" s="200">
        <v>0</v>
      </c>
    </row>
    <row r="40" spans="1:15" s="181" customFormat="1" ht="73.5" customHeight="1">
      <c r="A40" s="197"/>
      <c r="B40" s="202" t="s">
        <v>1016</v>
      </c>
      <c r="C40" s="199">
        <v>2174</v>
      </c>
      <c r="D40" s="199" t="s">
        <v>1017</v>
      </c>
      <c r="E40" s="195">
        <f t="shared" si="12"/>
        <v>300</v>
      </c>
      <c r="F40" s="200">
        <v>0</v>
      </c>
      <c r="G40" s="200">
        <v>0</v>
      </c>
      <c r="H40" s="200">
        <v>0</v>
      </c>
      <c r="I40" s="200">
        <v>150</v>
      </c>
      <c r="J40" s="200">
        <v>150</v>
      </c>
      <c r="K40" s="200">
        <v>0</v>
      </c>
      <c r="L40" s="200">
        <v>0</v>
      </c>
      <c r="M40" s="200">
        <v>0</v>
      </c>
      <c r="N40" s="200">
        <v>0</v>
      </c>
      <c r="O40" s="200">
        <v>0</v>
      </c>
    </row>
    <row r="41" spans="1:15" s="181" customFormat="1" ht="73.5" customHeight="1">
      <c r="A41" s="197"/>
      <c r="B41" s="202" t="s">
        <v>1018</v>
      </c>
      <c r="C41" s="199">
        <v>2780</v>
      </c>
      <c r="D41" s="199" t="s">
        <v>1019</v>
      </c>
      <c r="E41" s="195">
        <f t="shared" si="12"/>
        <v>1544.95</v>
      </c>
      <c r="F41" s="200">
        <v>0</v>
      </c>
      <c r="G41" s="200">
        <v>0</v>
      </c>
      <c r="H41" s="200">
        <v>616</v>
      </c>
      <c r="I41" s="200">
        <v>0</v>
      </c>
      <c r="J41" s="200">
        <v>312.95</v>
      </c>
      <c r="K41" s="200">
        <v>308</v>
      </c>
      <c r="L41" s="200">
        <v>308</v>
      </c>
      <c r="M41" s="200">
        <v>0</v>
      </c>
      <c r="N41" s="200">
        <v>0</v>
      </c>
      <c r="O41" s="200">
        <v>0</v>
      </c>
    </row>
    <row r="42" spans="1:15" s="181" customFormat="1" ht="48" customHeight="1">
      <c r="A42" s="197">
        <f>A37+1</f>
        <v>17</v>
      </c>
      <c r="B42" s="202" t="s">
        <v>1020</v>
      </c>
      <c r="C42" s="199">
        <v>948</v>
      </c>
      <c r="D42" s="199" t="s">
        <v>1021</v>
      </c>
      <c r="E42" s="195">
        <f t="shared" si="12"/>
        <v>1852.1210000000001</v>
      </c>
      <c r="F42" s="200">
        <v>74.984999999999999</v>
      </c>
      <c r="G42" s="200">
        <v>21.809000000000001</v>
      </c>
      <c r="H42" s="200">
        <v>505.66800000000001</v>
      </c>
      <c r="I42" s="200">
        <v>402.73700000000002</v>
      </c>
      <c r="J42" s="200">
        <v>276.46300000000002</v>
      </c>
      <c r="K42" s="200">
        <v>314.85000000000002</v>
      </c>
      <c r="L42" s="200">
        <v>81.03</v>
      </c>
      <c r="M42" s="200">
        <v>101.999</v>
      </c>
      <c r="N42" s="200">
        <v>72.58</v>
      </c>
      <c r="O42" s="200">
        <v>0</v>
      </c>
    </row>
    <row r="43" spans="1:15" s="181" customFormat="1" ht="73.5" customHeight="1">
      <c r="A43" s="197">
        <f t="shared" si="13"/>
        <v>18</v>
      </c>
      <c r="B43" s="202" t="s">
        <v>1022</v>
      </c>
      <c r="C43" s="199">
        <v>127</v>
      </c>
      <c r="D43" s="199" t="s">
        <v>1023</v>
      </c>
      <c r="E43" s="195">
        <f t="shared" si="12"/>
        <v>400</v>
      </c>
      <c r="F43" s="200">
        <v>0</v>
      </c>
      <c r="G43" s="200">
        <v>0</v>
      </c>
      <c r="H43" s="200">
        <v>0</v>
      </c>
      <c r="I43" s="200">
        <v>400</v>
      </c>
      <c r="J43" s="200">
        <v>0</v>
      </c>
      <c r="K43" s="200">
        <v>0</v>
      </c>
      <c r="L43" s="200">
        <v>0</v>
      </c>
      <c r="M43" s="200">
        <v>0</v>
      </c>
      <c r="N43" s="200">
        <v>0</v>
      </c>
      <c r="O43" s="200">
        <v>0</v>
      </c>
    </row>
    <row r="44" spans="1:15" s="181" customFormat="1" ht="73.5" customHeight="1">
      <c r="A44" s="197">
        <f t="shared" si="13"/>
        <v>19</v>
      </c>
      <c r="B44" s="202" t="s">
        <v>1024</v>
      </c>
      <c r="C44" s="199">
        <v>1171</v>
      </c>
      <c r="D44" s="199" t="s">
        <v>1025</v>
      </c>
      <c r="E44" s="195">
        <f t="shared" si="12"/>
        <v>330</v>
      </c>
      <c r="F44" s="200">
        <v>0</v>
      </c>
      <c r="G44" s="200">
        <v>0</v>
      </c>
      <c r="H44" s="200">
        <v>0</v>
      </c>
      <c r="I44" s="200">
        <v>0</v>
      </c>
      <c r="J44" s="200">
        <v>0</v>
      </c>
      <c r="K44" s="200">
        <v>0</v>
      </c>
      <c r="L44" s="200">
        <v>0</v>
      </c>
      <c r="M44" s="200">
        <v>0</v>
      </c>
      <c r="N44" s="200">
        <v>330</v>
      </c>
      <c r="O44" s="200">
        <v>0</v>
      </c>
    </row>
    <row r="45" spans="1:15" s="181" customFormat="1" ht="73.5" customHeight="1">
      <c r="A45" s="197">
        <f t="shared" si="13"/>
        <v>20</v>
      </c>
      <c r="B45" s="202" t="s">
        <v>1026</v>
      </c>
      <c r="C45" s="199">
        <v>1244</v>
      </c>
      <c r="D45" s="199" t="s">
        <v>1027</v>
      </c>
      <c r="E45" s="195">
        <f t="shared" si="12"/>
        <v>200</v>
      </c>
      <c r="F45" s="200">
        <v>0</v>
      </c>
      <c r="G45" s="200">
        <v>200</v>
      </c>
      <c r="H45" s="200">
        <v>0</v>
      </c>
      <c r="I45" s="200">
        <v>0</v>
      </c>
      <c r="J45" s="200">
        <v>0</v>
      </c>
      <c r="K45" s="200">
        <v>0</v>
      </c>
      <c r="L45" s="200">
        <v>0</v>
      </c>
      <c r="M45" s="200">
        <v>0</v>
      </c>
      <c r="N45" s="200">
        <v>0</v>
      </c>
      <c r="O45" s="200">
        <v>0</v>
      </c>
    </row>
    <row r="46" spans="1:15" s="181" customFormat="1" ht="73.5" customHeight="1">
      <c r="A46" s="197">
        <f t="shared" si="13"/>
        <v>21</v>
      </c>
      <c r="B46" s="202" t="s">
        <v>1028</v>
      </c>
      <c r="C46" s="199">
        <v>484</v>
      </c>
      <c r="D46" s="199" t="s">
        <v>1029</v>
      </c>
      <c r="E46" s="195">
        <f t="shared" si="12"/>
        <v>3467</v>
      </c>
      <c r="F46" s="200">
        <v>0</v>
      </c>
      <c r="G46" s="200">
        <v>0</v>
      </c>
      <c r="H46" s="200">
        <v>200</v>
      </c>
      <c r="I46" s="200">
        <v>300</v>
      </c>
      <c r="J46" s="200">
        <v>200</v>
      </c>
      <c r="K46" s="200">
        <v>300</v>
      </c>
      <c r="L46" s="200">
        <v>0</v>
      </c>
      <c r="M46" s="200">
        <v>0</v>
      </c>
      <c r="N46" s="200">
        <v>2467</v>
      </c>
      <c r="O46" s="200">
        <v>0</v>
      </c>
    </row>
    <row r="47" spans="1:15" s="181" customFormat="1" ht="73.5" customHeight="1">
      <c r="A47" s="197">
        <f t="shared" si="13"/>
        <v>22</v>
      </c>
      <c r="B47" s="202" t="s">
        <v>1028</v>
      </c>
      <c r="C47" s="199">
        <v>484</v>
      </c>
      <c r="D47" s="199" t="s">
        <v>1030</v>
      </c>
      <c r="E47" s="195">
        <f t="shared" si="12"/>
        <v>3860</v>
      </c>
      <c r="F47" s="200">
        <v>0</v>
      </c>
      <c r="G47" s="200">
        <v>0</v>
      </c>
      <c r="H47" s="200">
        <v>0</v>
      </c>
      <c r="I47" s="200">
        <v>0</v>
      </c>
      <c r="J47" s="200">
        <v>440</v>
      </c>
      <c r="K47" s="200">
        <v>220</v>
      </c>
      <c r="L47" s="200">
        <v>2000</v>
      </c>
      <c r="M47" s="200">
        <v>0</v>
      </c>
      <c r="N47" s="200">
        <v>1200</v>
      </c>
      <c r="O47" s="200">
        <v>0</v>
      </c>
    </row>
    <row r="48" spans="1:15" s="181" customFormat="1" ht="73.5" customHeight="1">
      <c r="A48" s="197">
        <f t="shared" si="13"/>
        <v>23</v>
      </c>
      <c r="B48" s="202" t="s">
        <v>1028</v>
      </c>
      <c r="C48" s="199">
        <v>484</v>
      </c>
      <c r="D48" s="199" t="s">
        <v>1031</v>
      </c>
      <c r="E48" s="195">
        <f t="shared" si="12"/>
        <v>3300</v>
      </c>
      <c r="F48" s="200">
        <v>0</v>
      </c>
      <c r="G48" s="200">
        <v>0</v>
      </c>
      <c r="H48" s="200">
        <v>600</v>
      </c>
      <c r="I48" s="200">
        <v>900</v>
      </c>
      <c r="J48" s="200">
        <v>600</v>
      </c>
      <c r="K48" s="200">
        <v>900</v>
      </c>
      <c r="L48" s="200">
        <v>0</v>
      </c>
      <c r="M48" s="200">
        <v>0</v>
      </c>
      <c r="N48" s="200">
        <v>300</v>
      </c>
      <c r="O48" s="200">
        <v>0</v>
      </c>
    </row>
    <row r="49" spans="1:15" s="181" customFormat="1" ht="73.5" customHeight="1">
      <c r="A49" s="197">
        <f t="shared" si="13"/>
        <v>24</v>
      </c>
      <c r="B49" s="202" t="s">
        <v>1028</v>
      </c>
      <c r="C49" s="199">
        <v>484</v>
      </c>
      <c r="D49" s="199" t="s">
        <v>1032</v>
      </c>
      <c r="E49" s="195">
        <f t="shared" si="12"/>
        <v>710</v>
      </c>
      <c r="F49" s="200">
        <v>0</v>
      </c>
      <c r="G49" s="200">
        <v>0</v>
      </c>
      <c r="H49" s="200">
        <v>0</v>
      </c>
      <c r="I49" s="200">
        <v>0</v>
      </c>
      <c r="J49" s="200">
        <v>0</v>
      </c>
      <c r="K49" s="200">
        <v>0</v>
      </c>
      <c r="L49" s="200">
        <v>710</v>
      </c>
      <c r="M49" s="200">
        <v>0</v>
      </c>
      <c r="N49" s="200">
        <v>0</v>
      </c>
      <c r="O49" s="200">
        <v>0</v>
      </c>
    </row>
    <row r="50" spans="1:15" s="181" customFormat="1" ht="73.5" customHeight="1">
      <c r="A50" s="197">
        <f t="shared" si="13"/>
        <v>25</v>
      </c>
      <c r="B50" s="202" t="s">
        <v>1033</v>
      </c>
      <c r="C50" s="199">
        <v>1164</v>
      </c>
      <c r="D50" s="199" t="s">
        <v>1034</v>
      </c>
      <c r="E50" s="195">
        <f t="shared" si="12"/>
        <v>34170</v>
      </c>
      <c r="F50" s="200">
        <v>0</v>
      </c>
      <c r="G50" s="200">
        <v>0</v>
      </c>
      <c r="H50" s="200">
        <v>2000</v>
      </c>
      <c r="I50" s="200">
        <v>4000</v>
      </c>
      <c r="J50" s="200">
        <v>2000</v>
      </c>
      <c r="K50" s="200">
        <v>4000</v>
      </c>
      <c r="L50" s="200">
        <v>0</v>
      </c>
      <c r="M50" s="200">
        <v>0</v>
      </c>
      <c r="N50" s="200">
        <v>21170</v>
      </c>
      <c r="O50" s="200">
        <v>1000</v>
      </c>
    </row>
    <row r="51" spans="1:15" s="181" customFormat="1" ht="73.5" customHeight="1">
      <c r="A51" s="197">
        <f t="shared" si="13"/>
        <v>26</v>
      </c>
      <c r="B51" s="202" t="s">
        <v>1033</v>
      </c>
      <c r="C51" s="199">
        <v>1164</v>
      </c>
      <c r="D51" s="199" t="s">
        <v>1035</v>
      </c>
      <c r="E51" s="195">
        <f t="shared" si="12"/>
        <v>24860</v>
      </c>
      <c r="F51" s="200">
        <v>0</v>
      </c>
      <c r="G51" s="200">
        <v>0</v>
      </c>
      <c r="H51" s="200">
        <v>0</v>
      </c>
      <c r="I51" s="200">
        <v>0</v>
      </c>
      <c r="J51" s="200">
        <v>2400</v>
      </c>
      <c r="K51" s="200">
        <v>1700</v>
      </c>
      <c r="L51" s="200">
        <v>12632</v>
      </c>
      <c r="M51" s="200">
        <v>200</v>
      </c>
      <c r="N51" s="200">
        <f>(6728000000+1200000000)/1000000</f>
        <v>7928</v>
      </c>
      <c r="O51" s="200">
        <v>0</v>
      </c>
    </row>
    <row r="52" spans="1:15" s="181" customFormat="1" ht="73.5" customHeight="1">
      <c r="A52" s="197">
        <f t="shared" si="13"/>
        <v>27</v>
      </c>
      <c r="B52" s="202" t="s">
        <v>1033</v>
      </c>
      <c r="C52" s="199">
        <v>1164</v>
      </c>
      <c r="D52" s="199" t="s">
        <v>1036</v>
      </c>
      <c r="E52" s="195">
        <f t="shared" si="12"/>
        <v>12889</v>
      </c>
      <c r="F52" s="200">
        <v>0</v>
      </c>
      <c r="G52" s="200">
        <v>0</v>
      </c>
      <c r="H52" s="200">
        <v>700</v>
      </c>
      <c r="I52" s="200">
        <v>1400</v>
      </c>
      <c r="J52" s="200">
        <v>700</v>
      </c>
      <c r="K52" s="200">
        <v>1400</v>
      </c>
      <c r="L52" s="200">
        <v>0</v>
      </c>
      <c r="M52" s="200">
        <v>0</v>
      </c>
      <c r="N52" s="200">
        <v>8389</v>
      </c>
      <c r="O52" s="200">
        <v>300</v>
      </c>
    </row>
    <row r="53" spans="1:15" s="181" customFormat="1" ht="73.5" customHeight="1">
      <c r="A53" s="197">
        <f t="shared" si="13"/>
        <v>28</v>
      </c>
      <c r="B53" s="202" t="s">
        <v>1033</v>
      </c>
      <c r="C53" s="199">
        <v>1164</v>
      </c>
      <c r="D53" s="199" t="s">
        <v>1037</v>
      </c>
      <c r="E53" s="195">
        <f t="shared" si="12"/>
        <v>8880</v>
      </c>
      <c r="F53" s="200">
        <v>0</v>
      </c>
      <c r="G53" s="200">
        <v>0</v>
      </c>
      <c r="H53" s="200">
        <v>0</v>
      </c>
      <c r="I53" s="200">
        <v>0</v>
      </c>
      <c r="J53" s="200">
        <v>780</v>
      </c>
      <c r="K53" s="200">
        <v>600</v>
      </c>
      <c r="L53" s="200">
        <v>4490</v>
      </c>
      <c r="M53" s="200">
        <v>50</v>
      </c>
      <c r="N53" s="200">
        <v>2960</v>
      </c>
      <c r="O53" s="200">
        <v>0</v>
      </c>
    </row>
    <row r="54" spans="1:15" s="181" customFormat="1" ht="73.5" customHeight="1">
      <c r="A54" s="197">
        <f t="shared" si="13"/>
        <v>29</v>
      </c>
      <c r="B54" s="202" t="s">
        <v>1033</v>
      </c>
      <c r="C54" s="199">
        <v>1164</v>
      </c>
      <c r="D54" s="199" t="s">
        <v>1038</v>
      </c>
      <c r="E54" s="195">
        <f t="shared" si="12"/>
        <v>1560</v>
      </c>
      <c r="F54" s="200">
        <v>0</v>
      </c>
      <c r="G54" s="200">
        <v>60</v>
      </c>
      <c r="H54" s="200">
        <v>300</v>
      </c>
      <c r="I54" s="200">
        <v>300</v>
      </c>
      <c r="J54" s="200">
        <v>300</v>
      </c>
      <c r="K54" s="200">
        <v>300</v>
      </c>
      <c r="L54" s="200">
        <v>0</v>
      </c>
      <c r="M54" s="200">
        <v>300</v>
      </c>
      <c r="N54" s="200">
        <v>0</v>
      </c>
      <c r="O54" s="200">
        <v>0</v>
      </c>
    </row>
    <row r="55" spans="1:15" s="181" customFormat="1" ht="73.5" customHeight="1">
      <c r="A55" s="197">
        <f t="shared" si="13"/>
        <v>30</v>
      </c>
      <c r="B55" s="202" t="s">
        <v>1033</v>
      </c>
      <c r="C55" s="199">
        <v>1164</v>
      </c>
      <c r="D55" s="199" t="s">
        <v>1039</v>
      </c>
      <c r="E55" s="195">
        <f t="shared" si="12"/>
        <v>56</v>
      </c>
      <c r="F55" s="200">
        <v>0</v>
      </c>
      <c r="G55" s="200">
        <v>6</v>
      </c>
      <c r="H55" s="200">
        <v>6</v>
      </c>
      <c r="I55" s="200">
        <v>6</v>
      </c>
      <c r="J55" s="200">
        <v>6</v>
      </c>
      <c r="K55" s="200">
        <v>6</v>
      </c>
      <c r="L55" s="200">
        <v>10</v>
      </c>
      <c r="M55" s="200">
        <v>6</v>
      </c>
      <c r="N55" s="200">
        <v>10</v>
      </c>
      <c r="O55" s="200">
        <v>0</v>
      </c>
    </row>
    <row r="56" spans="1:15" s="181" customFormat="1" ht="73.5" customHeight="1">
      <c r="A56" s="197">
        <f t="shared" si="13"/>
        <v>31</v>
      </c>
      <c r="B56" s="202" t="s">
        <v>1033</v>
      </c>
      <c r="C56" s="199">
        <v>1164</v>
      </c>
      <c r="D56" s="199" t="s">
        <v>1040</v>
      </c>
      <c r="E56" s="195">
        <f t="shared" si="12"/>
        <v>140</v>
      </c>
      <c r="F56" s="200">
        <v>15</v>
      </c>
      <c r="G56" s="200">
        <v>10</v>
      </c>
      <c r="H56" s="200">
        <v>15</v>
      </c>
      <c r="I56" s="200">
        <v>15</v>
      </c>
      <c r="J56" s="200">
        <v>15</v>
      </c>
      <c r="K56" s="200">
        <v>15</v>
      </c>
      <c r="L56" s="200">
        <v>20</v>
      </c>
      <c r="M56" s="200">
        <v>15</v>
      </c>
      <c r="N56" s="200">
        <v>20</v>
      </c>
      <c r="O56" s="200">
        <v>0</v>
      </c>
    </row>
    <row r="57" spans="1:15" s="181" customFormat="1" ht="73.5" customHeight="1">
      <c r="A57" s="197">
        <v>32</v>
      </c>
      <c r="B57" s="202" t="s">
        <v>1041</v>
      </c>
      <c r="C57" s="199">
        <v>2612</v>
      </c>
      <c r="D57" s="209" t="s">
        <v>1042</v>
      </c>
      <c r="E57" s="195">
        <f t="shared" si="12"/>
        <v>2487</v>
      </c>
      <c r="F57" s="200">
        <v>0</v>
      </c>
      <c r="G57" s="200">
        <v>0</v>
      </c>
      <c r="H57" s="200">
        <v>0</v>
      </c>
      <c r="I57" s="200">
        <v>0</v>
      </c>
      <c r="J57" s="200">
        <v>130</v>
      </c>
      <c r="K57" s="200">
        <v>100</v>
      </c>
      <c r="L57" s="200">
        <v>1662</v>
      </c>
      <c r="M57" s="200">
        <v>0</v>
      </c>
      <c r="N57" s="200">
        <v>595</v>
      </c>
      <c r="O57" s="200">
        <v>0</v>
      </c>
    </row>
    <row r="58" spans="1:15" s="181" customFormat="1" ht="73.5" customHeight="1">
      <c r="A58" s="197"/>
      <c r="B58" s="202" t="s">
        <v>1041</v>
      </c>
      <c r="C58" s="199">
        <v>2612</v>
      </c>
      <c r="D58" s="209" t="s">
        <v>1043</v>
      </c>
      <c r="E58" s="195">
        <f t="shared" si="12"/>
        <v>420</v>
      </c>
      <c r="F58" s="200">
        <v>0</v>
      </c>
      <c r="G58" s="200">
        <v>20</v>
      </c>
      <c r="H58" s="200">
        <v>80</v>
      </c>
      <c r="I58" s="200">
        <v>80</v>
      </c>
      <c r="J58" s="200">
        <v>80</v>
      </c>
      <c r="K58" s="200">
        <v>80</v>
      </c>
      <c r="L58" s="200">
        <v>0</v>
      </c>
      <c r="M58" s="200">
        <v>80</v>
      </c>
      <c r="N58" s="200">
        <v>0</v>
      </c>
      <c r="O58" s="200">
        <v>0</v>
      </c>
    </row>
    <row r="59" spans="1:15" s="181" customFormat="1" ht="73.5" customHeight="1">
      <c r="A59" s="197"/>
      <c r="B59" s="202" t="s">
        <v>1041</v>
      </c>
      <c r="C59" s="199">
        <v>2612</v>
      </c>
      <c r="D59" s="209" t="s">
        <v>1044</v>
      </c>
      <c r="E59" s="195">
        <f t="shared" si="12"/>
        <v>7020</v>
      </c>
      <c r="F59" s="200">
        <v>0</v>
      </c>
      <c r="G59" s="200">
        <v>0</v>
      </c>
      <c r="H59" s="200">
        <v>0</v>
      </c>
      <c r="I59" s="200">
        <v>0</v>
      </c>
      <c r="J59" s="200">
        <v>0</v>
      </c>
      <c r="K59" s="200">
        <v>0</v>
      </c>
      <c r="L59" s="200">
        <v>4320</v>
      </c>
      <c r="M59" s="200">
        <v>0</v>
      </c>
      <c r="N59" s="200">
        <v>2700</v>
      </c>
      <c r="O59" s="200">
        <v>0</v>
      </c>
    </row>
    <row r="60" spans="1:15" s="181" customFormat="1" ht="73.5" customHeight="1">
      <c r="A60" s="197">
        <v>33</v>
      </c>
      <c r="B60" s="202" t="s">
        <v>1045</v>
      </c>
      <c r="C60" s="199">
        <v>1324</v>
      </c>
      <c r="D60" s="199" t="s">
        <v>1046</v>
      </c>
      <c r="E60" s="195">
        <f t="shared" si="12"/>
        <v>400</v>
      </c>
      <c r="F60" s="200">
        <v>0</v>
      </c>
      <c r="G60" s="200">
        <v>400</v>
      </c>
      <c r="H60" s="200">
        <v>0</v>
      </c>
      <c r="I60" s="200">
        <v>0</v>
      </c>
      <c r="J60" s="200">
        <v>0</v>
      </c>
      <c r="K60" s="200">
        <v>0</v>
      </c>
      <c r="L60" s="200">
        <v>0</v>
      </c>
      <c r="M60" s="200">
        <v>0</v>
      </c>
      <c r="N60" s="200">
        <v>0</v>
      </c>
      <c r="O60" s="200">
        <v>0</v>
      </c>
    </row>
    <row r="61" spans="1:15" s="181" customFormat="1" ht="73.5" customHeight="1">
      <c r="A61" s="197">
        <f t="shared" si="13"/>
        <v>34</v>
      </c>
      <c r="B61" s="202" t="s">
        <v>1047</v>
      </c>
      <c r="C61" s="199">
        <v>1313</v>
      </c>
      <c r="D61" s="199" t="s">
        <v>1048</v>
      </c>
      <c r="E61" s="195">
        <f t="shared" si="12"/>
        <v>9688.5820000000022</v>
      </c>
      <c r="F61" s="200">
        <v>492.83800000000002</v>
      </c>
      <c r="G61" s="200">
        <v>132.47999999999999</v>
      </c>
      <c r="H61" s="200">
        <v>469.512</v>
      </c>
      <c r="I61" s="200">
        <v>553.85599999999999</v>
      </c>
      <c r="J61" s="200">
        <v>1195.6759999999999</v>
      </c>
      <c r="K61" s="200">
        <v>599.22199999999998</v>
      </c>
      <c r="L61" s="200">
        <v>3510.444</v>
      </c>
      <c r="M61" s="200">
        <v>839.54600000000005</v>
      </c>
      <c r="N61" s="200">
        <v>1893.3520000000001</v>
      </c>
      <c r="O61" s="200">
        <v>1.6559999999999999</v>
      </c>
    </row>
    <row r="62" spans="1:15" s="181" customFormat="1" ht="73.5" customHeight="1">
      <c r="A62" s="197">
        <f t="shared" si="13"/>
        <v>35</v>
      </c>
      <c r="B62" s="202" t="s">
        <v>1049</v>
      </c>
      <c r="C62" s="199">
        <v>1370</v>
      </c>
      <c r="D62" s="199" t="s">
        <v>1050</v>
      </c>
      <c r="E62" s="195">
        <f t="shared" si="12"/>
        <v>200</v>
      </c>
      <c r="F62" s="200">
        <v>0</v>
      </c>
      <c r="G62" s="200">
        <v>0</v>
      </c>
      <c r="H62" s="200">
        <v>0</v>
      </c>
      <c r="I62" s="200">
        <v>0</v>
      </c>
      <c r="J62" s="200">
        <v>0</v>
      </c>
      <c r="K62" s="200">
        <v>0</v>
      </c>
      <c r="L62" s="200">
        <v>0</v>
      </c>
      <c r="M62" s="200">
        <v>0</v>
      </c>
      <c r="N62" s="200">
        <v>0</v>
      </c>
      <c r="O62" s="200">
        <v>200</v>
      </c>
    </row>
    <row r="63" spans="1:15" s="181" customFormat="1" ht="73.5" customHeight="1">
      <c r="A63" s="197">
        <f t="shared" si="13"/>
        <v>36</v>
      </c>
      <c r="B63" s="202" t="s">
        <v>1051</v>
      </c>
      <c r="C63" s="199">
        <v>1826</v>
      </c>
      <c r="D63" s="199" t="s">
        <v>1052</v>
      </c>
      <c r="E63" s="195">
        <f t="shared" si="12"/>
        <v>777.8</v>
      </c>
      <c r="F63" s="200">
        <v>677.8</v>
      </c>
      <c r="G63" s="200">
        <v>0</v>
      </c>
      <c r="H63" s="200">
        <v>0</v>
      </c>
      <c r="I63" s="200">
        <v>100</v>
      </c>
      <c r="J63" s="200">
        <v>0</v>
      </c>
      <c r="K63" s="200">
        <v>0</v>
      </c>
      <c r="L63" s="200">
        <v>0</v>
      </c>
      <c r="M63" s="200">
        <v>0</v>
      </c>
      <c r="N63" s="200">
        <v>0</v>
      </c>
      <c r="O63" s="200">
        <v>0</v>
      </c>
    </row>
    <row r="64" spans="1:15" s="181" customFormat="1" ht="73.5" customHeight="1">
      <c r="A64" s="197">
        <f t="shared" si="13"/>
        <v>37</v>
      </c>
      <c r="B64" s="202" t="s">
        <v>1053</v>
      </c>
      <c r="C64" s="199">
        <v>2035</v>
      </c>
      <c r="D64" s="199" t="s">
        <v>1054</v>
      </c>
      <c r="E64" s="195">
        <f t="shared" si="12"/>
        <v>590</v>
      </c>
      <c r="F64" s="200">
        <v>0</v>
      </c>
      <c r="G64" s="200">
        <v>0</v>
      </c>
      <c r="H64" s="200">
        <v>0</v>
      </c>
      <c r="I64" s="200">
        <v>0</v>
      </c>
      <c r="J64" s="200">
        <v>0</v>
      </c>
      <c r="K64" s="200">
        <v>0</v>
      </c>
      <c r="L64" s="200">
        <v>0</v>
      </c>
      <c r="M64" s="200">
        <v>0</v>
      </c>
      <c r="N64" s="200">
        <v>0</v>
      </c>
      <c r="O64" s="200">
        <v>590</v>
      </c>
    </row>
    <row r="65" spans="1:15" s="181" customFormat="1" ht="73.5" customHeight="1">
      <c r="A65" s="197">
        <f t="shared" si="13"/>
        <v>38</v>
      </c>
      <c r="B65" s="202" t="s">
        <v>1055</v>
      </c>
      <c r="C65" s="199">
        <v>2018</v>
      </c>
      <c r="D65" s="199" t="s">
        <v>1056</v>
      </c>
      <c r="E65" s="195">
        <f t="shared" si="12"/>
        <v>500</v>
      </c>
      <c r="F65" s="200">
        <v>0</v>
      </c>
      <c r="G65" s="200">
        <v>0</v>
      </c>
      <c r="H65" s="200">
        <v>0</v>
      </c>
      <c r="I65" s="200">
        <v>0</v>
      </c>
      <c r="J65" s="200">
        <v>500</v>
      </c>
      <c r="K65" s="200">
        <v>0</v>
      </c>
      <c r="L65" s="200">
        <v>0</v>
      </c>
      <c r="M65" s="200">
        <v>0</v>
      </c>
      <c r="N65" s="200">
        <v>0</v>
      </c>
      <c r="O65" s="200">
        <v>0</v>
      </c>
    </row>
    <row r="66" spans="1:15" s="181" customFormat="1" ht="73.5" customHeight="1">
      <c r="A66" s="197">
        <f t="shared" si="13"/>
        <v>39</v>
      </c>
      <c r="B66" s="202" t="s">
        <v>1005</v>
      </c>
      <c r="C66" s="199">
        <v>2038</v>
      </c>
      <c r="D66" s="199" t="s">
        <v>1057</v>
      </c>
      <c r="E66" s="195">
        <f t="shared" si="12"/>
        <v>3625</v>
      </c>
      <c r="F66" s="200">
        <v>0</v>
      </c>
      <c r="G66" s="200">
        <v>150</v>
      </c>
      <c r="H66" s="200">
        <v>475</v>
      </c>
      <c r="I66" s="200">
        <v>475</v>
      </c>
      <c r="J66" s="200">
        <v>665</v>
      </c>
      <c r="K66" s="200">
        <v>475</v>
      </c>
      <c r="L66" s="200">
        <v>350</v>
      </c>
      <c r="M66" s="200">
        <v>623</v>
      </c>
      <c r="N66" s="200">
        <v>412</v>
      </c>
      <c r="O66" s="200">
        <v>0</v>
      </c>
    </row>
    <row r="67" spans="1:15" s="181" customFormat="1" ht="73.5" customHeight="1">
      <c r="A67" s="197">
        <f t="shared" si="13"/>
        <v>40</v>
      </c>
      <c r="B67" s="202" t="s">
        <v>1058</v>
      </c>
      <c r="C67" s="199">
        <v>1788</v>
      </c>
      <c r="D67" s="199" t="s">
        <v>1059</v>
      </c>
      <c r="E67" s="195">
        <f t="shared" si="12"/>
        <v>4500</v>
      </c>
      <c r="F67" s="200">
        <v>300</v>
      </c>
      <c r="G67" s="200">
        <v>300</v>
      </c>
      <c r="H67" s="200">
        <v>1400</v>
      </c>
      <c r="I67" s="200">
        <v>200</v>
      </c>
      <c r="J67" s="200">
        <v>800</v>
      </c>
      <c r="K67" s="200">
        <v>500</v>
      </c>
      <c r="L67" s="200">
        <v>100</v>
      </c>
      <c r="M67" s="200">
        <v>600</v>
      </c>
      <c r="N67" s="200">
        <v>300</v>
      </c>
      <c r="O67" s="200">
        <v>0</v>
      </c>
    </row>
    <row r="68" spans="1:15" s="181" customFormat="1" ht="73.5" customHeight="1">
      <c r="A68" s="197">
        <f t="shared" si="13"/>
        <v>41</v>
      </c>
      <c r="B68" s="202" t="s">
        <v>1060</v>
      </c>
      <c r="C68" s="199">
        <v>2353</v>
      </c>
      <c r="D68" s="199" t="s">
        <v>1061</v>
      </c>
      <c r="E68" s="195">
        <f t="shared" si="12"/>
        <v>18941.163</v>
      </c>
      <c r="F68" s="200">
        <v>783.39099999999996</v>
      </c>
      <c r="G68" s="200">
        <v>198.905</v>
      </c>
      <c r="H68" s="200">
        <v>5084.38</v>
      </c>
      <c r="I68" s="200">
        <v>4049.15</v>
      </c>
      <c r="J68" s="200">
        <v>2937.8649999999998</v>
      </c>
      <c r="K68" s="200">
        <v>3553.5250000000001</v>
      </c>
      <c r="L68" s="200">
        <v>639.13499999999999</v>
      </c>
      <c r="M68" s="200">
        <v>1287.9649999999999</v>
      </c>
      <c r="N68" s="200">
        <v>406.84699999999998</v>
      </c>
      <c r="O68" s="200">
        <v>0</v>
      </c>
    </row>
    <row r="69" spans="1:15" s="181" customFormat="1" ht="73.5" customHeight="1">
      <c r="A69" s="197">
        <f t="shared" si="13"/>
        <v>42</v>
      </c>
      <c r="B69" s="202" t="s">
        <v>1062</v>
      </c>
      <c r="C69" s="199">
        <v>2331</v>
      </c>
      <c r="D69" s="199" t="s">
        <v>1063</v>
      </c>
      <c r="E69" s="195">
        <f t="shared" si="12"/>
        <v>7246.5839999999989</v>
      </c>
      <c r="F69" s="200">
        <v>1100</v>
      </c>
      <c r="G69" s="200">
        <v>200</v>
      </c>
      <c r="H69" s="200">
        <v>750</v>
      </c>
      <c r="I69" s="200">
        <v>1700.3009999999999</v>
      </c>
      <c r="J69" s="200">
        <v>350</v>
      </c>
      <c r="K69" s="200">
        <v>350</v>
      </c>
      <c r="L69" s="200">
        <v>0</v>
      </c>
      <c r="M69" s="200">
        <v>450</v>
      </c>
      <c r="N69" s="200">
        <v>2346.2829999999999</v>
      </c>
      <c r="O69" s="200">
        <v>0</v>
      </c>
    </row>
    <row r="70" spans="1:15" s="181" customFormat="1" ht="73.5" customHeight="1">
      <c r="A70" s="197">
        <f t="shared" si="13"/>
        <v>43</v>
      </c>
      <c r="B70" s="202" t="s">
        <v>1062</v>
      </c>
      <c r="C70" s="199">
        <v>2331</v>
      </c>
      <c r="D70" s="199" t="s">
        <v>1064</v>
      </c>
      <c r="E70" s="195">
        <f t="shared" si="12"/>
        <v>6253.7169999999996</v>
      </c>
      <c r="F70" s="200">
        <v>0</v>
      </c>
      <c r="G70" s="200">
        <v>0</v>
      </c>
      <c r="H70" s="200">
        <v>0</v>
      </c>
      <c r="I70" s="200">
        <v>0</v>
      </c>
      <c r="J70" s="200">
        <v>0</v>
      </c>
      <c r="K70" s="200">
        <v>0</v>
      </c>
      <c r="L70" s="200">
        <v>5600</v>
      </c>
      <c r="M70" s="200">
        <v>0</v>
      </c>
      <c r="N70" s="200">
        <v>653.71699999999998</v>
      </c>
      <c r="O70" s="200">
        <v>0</v>
      </c>
    </row>
    <row r="71" spans="1:15" s="181" customFormat="1" ht="122.25" customHeight="1">
      <c r="A71" s="197">
        <f t="shared" si="13"/>
        <v>44</v>
      </c>
      <c r="B71" s="202" t="s">
        <v>1065</v>
      </c>
      <c r="C71" s="199">
        <v>2381</v>
      </c>
      <c r="D71" s="199" t="s">
        <v>1066</v>
      </c>
      <c r="E71" s="195">
        <f t="shared" si="12"/>
        <v>100</v>
      </c>
      <c r="F71" s="200">
        <v>100</v>
      </c>
      <c r="G71" s="200">
        <v>0</v>
      </c>
      <c r="H71" s="200">
        <v>0</v>
      </c>
      <c r="I71" s="200">
        <v>0</v>
      </c>
      <c r="J71" s="200">
        <v>0</v>
      </c>
      <c r="K71" s="200">
        <v>0</v>
      </c>
      <c r="L71" s="200">
        <v>0</v>
      </c>
      <c r="M71" s="200">
        <v>0</v>
      </c>
      <c r="N71" s="200">
        <v>0</v>
      </c>
      <c r="O71" s="200">
        <v>0</v>
      </c>
    </row>
    <row r="72" spans="1:15" s="181" customFormat="1" ht="66" customHeight="1">
      <c r="A72" s="197">
        <f t="shared" si="13"/>
        <v>45</v>
      </c>
      <c r="B72" s="202" t="s">
        <v>1067</v>
      </c>
      <c r="C72" s="199">
        <v>2555</v>
      </c>
      <c r="D72" s="199" t="s">
        <v>1068</v>
      </c>
      <c r="E72" s="195">
        <f t="shared" si="12"/>
        <v>10058.491</v>
      </c>
      <c r="F72" s="200">
        <v>414.72199999999998</v>
      </c>
      <c r="G72" s="200">
        <v>0</v>
      </c>
      <c r="H72" s="200">
        <v>4886.1580000000004</v>
      </c>
      <c r="I72" s="200">
        <v>670.36099999999999</v>
      </c>
      <c r="J72" s="200">
        <v>1883.828</v>
      </c>
      <c r="K72" s="200">
        <v>485.21499999999997</v>
      </c>
      <c r="L72" s="200">
        <v>849.87400000000002</v>
      </c>
      <c r="M72" s="200">
        <v>409.12</v>
      </c>
      <c r="N72" s="200">
        <v>459.21300000000002</v>
      </c>
      <c r="O72" s="200">
        <v>0</v>
      </c>
    </row>
    <row r="73" spans="1:15" s="181" customFormat="1" ht="66" customHeight="1">
      <c r="A73" s="197">
        <f t="shared" si="13"/>
        <v>46</v>
      </c>
      <c r="B73" s="202" t="s">
        <v>1069</v>
      </c>
      <c r="C73" s="199">
        <v>2535</v>
      </c>
      <c r="D73" s="199" t="s">
        <v>1070</v>
      </c>
      <c r="E73" s="195">
        <f t="shared" si="12"/>
        <v>100</v>
      </c>
      <c r="F73" s="200">
        <v>0</v>
      </c>
      <c r="G73" s="200">
        <v>0</v>
      </c>
      <c r="H73" s="200">
        <v>100</v>
      </c>
      <c r="I73" s="200">
        <v>0</v>
      </c>
      <c r="J73" s="200">
        <v>0</v>
      </c>
      <c r="K73" s="200">
        <v>0</v>
      </c>
      <c r="L73" s="200">
        <v>0</v>
      </c>
      <c r="M73" s="200">
        <v>0</v>
      </c>
      <c r="N73" s="200">
        <v>0</v>
      </c>
      <c r="O73" s="200">
        <v>0</v>
      </c>
    </row>
    <row r="74" spans="1:15" s="181" customFormat="1" ht="66" customHeight="1">
      <c r="A74" s="197">
        <f t="shared" si="13"/>
        <v>47</v>
      </c>
      <c r="B74" s="202" t="s">
        <v>1071</v>
      </c>
      <c r="C74" s="199">
        <v>2718</v>
      </c>
      <c r="D74" s="199" t="s">
        <v>1072</v>
      </c>
      <c r="E74" s="195">
        <f t="shared" si="12"/>
        <v>5000</v>
      </c>
      <c r="F74" s="200">
        <v>0</v>
      </c>
      <c r="G74" s="200">
        <v>0</v>
      </c>
      <c r="H74" s="200">
        <v>2000</v>
      </c>
      <c r="I74" s="200">
        <v>1000</v>
      </c>
      <c r="J74" s="200">
        <v>0</v>
      </c>
      <c r="K74" s="200">
        <v>0</v>
      </c>
      <c r="L74" s="200">
        <v>0</v>
      </c>
      <c r="M74" s="200">
        <v>0</v>
      </c>
      <c r="N74" s="200">
        <v>2000</v>
      </c>
      <c r="O74" s="200">
        <v>0</v>
      </c>
    </row>
    <row r="75" spans="1:15" s="181" customFormat="1" ht="66" customHeight="1">
      <c r="A75" s="197">
        <f t="shared" si="13"/>
        <v>48</v>
      </c>
      <c r="B75" s="202" t="s">
        <v>1073</v>
      </c>
      <c r="C75" s="199">
        <v>3054</v>
      </c>
      <c r="D75" s="199" t="s">
        <v>1074</v>
      </c>
      <c r="E75" s="195">
        <f t="shared" si="12"/>
        <v>810.48199999999997</v>
      </c>
      <c r="F75" s="200">
        <v>0</v>
      </c>
      <c r="G75" s="200">
        <v>0</v>
      </c>
      <c r="H75" s="200">
        <v>0</v>
      </c>
      <c r="I75" s="200">
        <v>0</v>
      </c>
      <c r="J75" s="200">
        <v>810.48199999999997</v>
      </c>
      <c r="K75" s="200">
        <v>0</v>
      </c>
      <c r="L75" s="200">
        <v>0</v>
      </c>
      <c r="M75" s="200">
        <v>0</v>
      </c>
      <c r="N75" s="200">
        <v>0</v>
      </c>
      <c r="O75" s="200">
        <v>0</v>
      </c>
    </row>
    <row r="76" spans="1:15" s="181" customFormat="1" ht="66" customHeight="1">
      <c r="A76" s="197">
        <f t="shared" si="13"/>
        <v>49</v>
      </c>
      <c r="B76" s="202" t="s">
        <v>1073</v>
      </c>
      <c r="C76" s="199">
        <v>3054</v>
      </c>
      <c r="D76" s="199" t="s">
        <v>1075</v>
      </c>
      <c r="E76" s="195">
        <f t="shared" si="12"/>
        <v>441.80399999999997</v>
      </c>
      <c r="F76" s="200">
        <v>0</v>
      </c>
      <c r="G76" s="200">
        <v>0</v>
      </c>
      <c r="H76" s="200">
        <v>0</v>
      </c>
      <c r="I76" s="200">
        <v>0</v>
      </c>
      <c r="J76" s="200">
        <v>441.80399999999997</v>
      </c>
      <c r="K76" s="200">
        <v>0</v>
      </c>
      <c r="L76" s="200">
        <v>0</v>
      </c>
      <c r="M76" s="200">
        <v>0</v>
      </c>
      <c r="N76" s="200">
        <v>0</v>
      </c>
      <c r="O76" s="200">
        <v>0</v>
      </c>
    </row>
    <row r="77" spans="1:15" s="181" customFormat="1" ht="66" customHeight="1">
      <c r="A77" s="197">
        <f t="shared" si="13"/>
        <v>50</v>
      </c>
      <c r="B77" s="202" t="s">
        <v>1073</v>
      </c>
      <c r="C77" s="199">
        <v>3068</v>
      </c>
      <c r="D77" s="199" t="s">
        <v>1075</v>
      </c>
      <c r="E77" s="195">
        <f t="shared" si="12"/>
        <v>1021.934</v>
      </c>
      <c r="F77" s="200">
        <v>0</v>
      </c>
      <c r="G77" s="200">
        <v>0</v>
      </c>
      <c r="H77" s="200">
        <v>0</v>
      </c>
      <c r="I77" s="200">
        <v>0</v>
      </c>
      <c r="J77" s="200">
        <v>0</v>
      </c>
      <c r="K77" s="200">
        <v>1021.934</v>
      </c>
      <c r="L77" s="200">
        <v>0</v>
      </c>
      <c r="M77" s="200">
        <v>0</v>
      </c>
      <c r="N77" s="200">
        <v>0</v>
      </c>
      <c r="O77" s="200">
        <v>0</v>
      </c>
    </row>
    <row r="78" spans="1:15" s="181" customFormat="1" ht="66" customHeight="1">
      <c r="A78" s="197">
        <f t="shared" si="13"/>
        <v>51</v>
      </c>
      <c r="B78" s="202" t="s">
        <v>1076</v>
      </c>
      <c r="C78" s="199">
        <v>3053</v>
      </c>
      <c r="D78" s="199" t="s">
        <v>1077</v>
      </c>
      <c r="E78" s="195">
        <f t="shared" si="12"/>
        <v>6210</v>
      </c>
      <c r="F78" s="200">
        <v>0</v>
      </c>
      <c r="G78" s="200">
        <v>0</v>
      </c>
      <c r="H78" s="200">
        <v>0</v>
      </c>
      <c r="I78" s="200">
        <v>0</v>
      </c>
      <c r="J78" s="200">
        <v>3330</v>
      </c>
      <c r="K78" s="200">
        <v>0</v>
      </c>
      <c r="L78" s="200">
        <v>2880</v>
      </c>
      <c r="M78" s="200">
        <v>0</v>
      </c>
      <c r="N78" s="200">
        <v>0</v>
      </c>
      <c r="O78" s="200">
        <v>0</v>
      </c>
    </row>
    <row r="79" spans="1:15" s="181" customFormat="1" ht="66" customHeight="1">
      <c r="A79" s="197"/>
      <c r="B79" s="202" t="s">
        <v>1076</v>
      </c>
      <c r="C79" s="199">
        <v>3095</v>
      </c>
      <c r="D79" s="199" t="s">
        <v>1078</v>
      </c>
      <c r="E79" s="195">
        <f t="shared" si="12"/>
        <v>728</v>
      </c>
      <c r="F79" s="200">
        <v>0</v>
      </c>
      <c r="G79" s="200">
        <v>728</v>
      </c>
      <c r="H79" s="200">
        <v>0</v>
      </c>
      <c r="I79" s="200">
        <v>0</v>
      </c>
      <c r="J79" s="200">
        <v>0</v>
      </c>
      <c r="K79" s="200">
        <v>0</v>
      </c>
      <c r="L79" s="200">
        <v>0</v>
      </c>
      <c r="M79" s="200">
        <v>0</v>
      </c>
      <c r="N79" s="200">
        <v>0</v>
      </c>
      <c r="O79" s="200">
        <v>0</v>
      </c>
    </row>
    <row r="80" spans="1:15" s="181" customFormat="1" ht="66" customHeight="1">
      <c r="A80" s="197">
        <f>A78+1</f>
        <v>52</v>
      </c>
      <c r="B80" s="202" t="s">
        <v>1079</v>
      </c>
      <c r="C80" s="199">
        <v>3076</v>
      </c>
      <c r="D80" s="199" t="s">
        <v>1080</v>
      </c>
      <c r="E80" s="195">
        <f t="shared" si="12"/>
        <v>420</v>
      </c>
      <c r="F80" s="200">
        <v>0</v>
      </c>
      <c r="G80" s="200">
        <v>0</v>
      </c>
      <c r="H80" s="200">
        <v>0</v>
      </c>
      <c r="I80" s="200">
        <v>420</v>
      </c>
      <c r="J80" s="200">
        <v>0</v>
      </c>
      <c r="K80" s="200">
        <v>0</v>
      </c>
      <c r="L80" s="200">
        <v>0</v>
      </c>
      <c r="M80" s="200">
        <v>0</v>
      </c>
      <c r="N80" s="200">
        <v>0</v>
      </c>
      <c r="O80" s="200">
        <v>0</v>
      </c>
    </row>
    <row r="81" spans="1:15" s="181" customFormat="1" ht="66" customHeight="1">
      <c r="A81" s="197">
        <v>52</v>
      </c>
      <c r="B81" s="202" t="s">
        <v>1081</v>
      </c>
      <c r="C81" s="199">
        <v>3231</v>
      </c>
      <c r="D81" s="199" t="s">
        <v>1082</v>
      </c>
      <c r="E81" s="195">
        <f t="shared" si="12"/>
        <v>352.40499999999997</v>
      </c>
      <c r="F81" s="200">
        <v>352.40499999999997</v>
      </c>
      <c r="G81" s="200">
        <v>0</v>
      </c>
      <c r="H81" s="200">
        <v>0</v>
      </c>
      <c r="I81" s="200">
        <v>0</v>
      </c>
      <c r="J81" s="200">
        <v>0</v>
      </c>
      <c r="K81" s="200">
        <v>0</v>
      </c>
      <c r="L81" s="200">
        <v>0</v>
      </c>
      <c r="M81" s="200">
        <v>0</v>
      </c>
      <c r="N81" s="200">
        <v>0</v>
      </c>
      <c r="O81" s="200">
        <v>0</v>
      </c>
    </row>
    <row r="82" spans="1:15" s="181" customFormat="1" ht="66" customHeight="1">
      <c r="A82" s="197">
        <v>53</v>
      </c>
      <c r="B82" s="202" t="s">
        <v>1083</v>
      </c>
      <c r="C82" s="199">
        <v>3179</v>
      </c>
      <c r="D82" s="199" t="s">
        <v>1084</v>
      </c>
      <c r="E82" s="195">
        <f t="shared" si="12"/>
        <v>700</v>
      </c>
      <c r="F82" s="200">
        <v>0</v>
      </c>
      <c r="G82" s="200">
        <v>0</v>
      </c>
      <c r="H82" s="200">
        <v>350</v>
      </c>
      <c r="I82" s="200">
        <v>0</v>
      </c>
      <c r="J82" s="200">
        <v>0</v>
      </c>
      <c r="K82" s="200">
        <v>0</v>
      </c>
      <c r="L82" s="200">
        <v>0</v>
      </c>
      <c r="M82" s="200">
        <v>350</v>
      </c>
      <c r="N82" s="200">
        <v>0</v>
      </c>
      <c r="O82" s="200">
        <v>0</v>
      </c>
    </row>
    <row r="83" spans="1:15" s="181" customFormat="1" ht="66" customHeight="1">
      <c r="A83" s="197">
        <v>54</v>
      </c>
      <c r="B83" s="202" t="s">
        <v>1085</v>
      </c>
      <c r="C83" s="199">
        <v>3059</v>
      </c>
      <c r="D83" s="199" t="s">
        <v>1086</v>
      </c>
      <c r="E83" s="195">
        <f t="shared" si="12"/>
        <v>1500</v>
      </c>
      <c r="F83" s="200">
        <v>0</v>
      </c>
      <c r="G83" s="200">
        <v>0</v>
      </c>
      <c r="H83" s="200">
        <v>0</v>
      </c>
      <c r="I83" s="200">
        <v>0</v>
      </c>
      <c r="J83" s="200">
        <v>0</v>
      </c>
      <c r="K83" s="200">
        <v>0</v>
      </c>
      <c r="L83" s="200">
        <v>1500</v>
      </c>
      <c r="M83" s="200">
        <v>0</v>
      </c>
      <c r="N83" s="200">
        <v>0</v>
      </c>
      <c r="O83" s="200">
        <v>0</v>
      </c>
    </row>
    <row r="84" spans="1:15" s="181" customFormat="1" ht="140.25" customHeight="1">
      <c r="A84" s="197">
        <f>A83+1</f>
        <v>55</v>
      </c>
      <c r="B84" s="202" t="s">
        <v>1087</v>
      </c>
      <c r="C84" s="199">
        <v>3324</v>
      </c>
      <c r="D84" s="199" t="s">
        <v>1088</v>
      </c>
      <c r="E84" s="195">
        <f t="shared" si="12"/>
        <v>3015.3240000000001</v>
      </c>
      <c r="F84" s="200">
        <v>252.48599999999999</v>
      </c>
      <c r="G84" s="200">
        <v>152.88</v>
      </c>
      <c r="H84" s="200">
        <f>(409247000+15385000)/1000000</f>
        <v>424.63200000000001</v>
      </c>
      <c r="I84" s="200">
        <v>355.524</v>
      </c>
      <c r="J84" s="200">
        <v>425.56799999999998</v>
      </c>
      <c r="K84" s="200">
        <v>404.04</v>
      </c>
      <c r="L84" s="200">
        <v>435.16199999999998</v>
      </c>
      <c r="M84" s="200">
        <v>211.14599999999999</v>
      </c>
      <c r="N84" s="200">
        <v>313.48200000000003</v>
      </c>
      <c r="O84" s="200">
        <v>40.404000000000003</v>
      </c>
    </row>
    <row r="85" spans="1:15" s="181" customFormat="1" ht="66" customHeight="1">
      <c r="A85" s="197">
        <f t="shared" ref="A85:A115" si="14">A84+1</f>
        <v>56</v>
      </c>
      <c r="B85" s="202" t="s">
        <v>1089</v>
      </c>
      <c r="C85" s="199">
        <v>3310</v>
      </c>
      <c r="D85" s="199" t="s">
        <v>1090</v>
      </c>
      <c r="E85" s="195">
        <f t="shared" si="12"/>
        <v>1800</v>
      </c>
      <c r="F85" s="200">
        <v>0</v>
      </c>
      <c r="G85" s="200">
        <v>0</v>
      </c>
      <c r="H85" s="200">
        <v>0</v>
      </c>
      <c r="I85" s="200">
        <v>0</v>
      </c>
      <c r="J85" s="200">
        <v>0</v>
      </c>
      <c r="K85" s="200">
        <v>1800</v>
      </c>
      <c r="L85" s="200">
        <v>0</v>
      </c>
      <c r="M85" s="200">
        <v>0</v>
      </c>
      <c r="N85" s="200">
        <v>0</v>
      </c>
      <c r="O85" s="200">
        <v>0</v>
      </c>
    </row>
    <row r="86" spans="1:15" s="181" customFormat="1" ht="66" customHeight="1">
      <c r="A86" s="197">
        <f t="shared" si="14"/>
        <v>57</v>
      </c>
      <c r="B86" s="202" t="s">
        <v>1091</v>
      </c>
      <c r="C86" s="199">
        <v>3327</v>
      </c>
      <c r="D86" s="199" t="s">
        <v>1092</v>
      </c>
      <c r="E86" s="195">
        <f t="shared" si="12"/>
        <v>935</v>
      </c>
      <c r="F86" s="200">
        <v>0</v>
      </c>
      <c r="G86" s="200">
        <v>0</v>
      </c>
      <c r="H86" s="200">
        <v>0</v>
      </c>
      <c r="I86" s="200">
        <v>0</v>
      </c>
      <c r="J86" s="200">
        <v>0</v>
      </c>
      <c r="K86" s="200">
        <v>0</v>
      </c>
      <c r="L86" s="200">
        <v>0</v>
      </c>
      <c r="M86" s="200">
        <v>0</v>
      </c>
      <c r="N86" s="200">
        <v>935</v>
      </c>
      <c r="O86" s="200">
        <v>0</v>
      </c>
    </row>
    <row r="87" spans="1:15" s="181" customFormat="1" ht="66" customHeight="1">
      <c r="A87" s="197">
        <f t="shared" si="14"/>
        <v>58</v>
      </c>
      <c r="B87" s="202" t="s">
        <v>1093</v>
      </c>
      <c r="C87" s="199">
        <v>3316</v>
      </c>
      <c r="D87" s="199" t="s">
        <v>1094</v>
      </c>
      <c r="E87" s="195">
        <f t="shared" si="12"/>
        <v>100</v>
      </c>
      <c r="F87" s="200">
        <v>0</v>
      </c>
      <c r="G87" s="200">
        <v>100</v>
      </c>
      <c r="H87" s="200">
        <v>0</v>
      </c>
      <c r="I87" s="200">
        <v>0</v>
      </c>
      <c r="J87" s="200">
        <v>0</v>
      </c>
      <c r="K87" s="200">
        <v>0</v>
      </c>
      <c r="L87" s="200">
        <v>0</v>
      </c>
      <c r="M87" s="200">
        <v>0</v>
      </c>
      <c r="N87" s="200">
        <v>0</v>
      </c>
      <c r="O87" s="200">
        <v>0</v>
      </c>
    </row>
    <row r="88" spans="1:15" s="181" customFormat="1" ht="66" customHeight="1">
      <c r="A88" s="197">
        <f t="shared" si="14"/>
        <v>59</v>
      </c>
      <c r="B88" s="202" t="s">
        <v>1091</v>
      </c>
      <c r="C88" s="199">
        <v>3317</v>
      </c>
      <c r="D88" s="199" t="s">
        <v>1095</v>
      </c>
      <c r="E88" s="195">
        <f t="shared" si="12"/>
        <v>300</v>
      </c>
      <c r="F88" s="200">
        <v>0</v>
      </c>
      <c r="G88" s="200">
        <v>0</v>
      </c>
      <c r="H88" s="200">
        <v>0</v>
      </c>
      <c r="I88" s="200">
        <v>0</v>
      </c>
      <c r="J88" s="200">
        <v>300</v>
      </c>
      <c r="K88" s="200">
        <v>0</v>
      </c>
      <c r="L88" s="200">
        <v>0</v>
      </c>
      <c r="M88" s="200">
        <v>0</v>
      </c>
      <c r="N88" s="200">
        <v>0</v>
      </c>
      <c r="O88" s="200">
        <v>0</v>
      </c>
    </row>
    <row r="89" spans="1:15" s="181" customFormat="1" ht="66" customHeight="1">
      <c r="A89" s="197">
        <f t="shared" si="14"/>
        <v>60</v>
      </c>
      <c r="B89" s="202" t="s">
        <v>1079</v>
      </c>
      <c r="C89" s="199">
        <v>3339</v>
      </c>
      <c r="D89" s="199" t="s">
        <v>1096</v>
      </c>
      <c r="E89" s="195">
        <f t="shared" si="12"/>
        <v>420</v>
      </c>
      <c r="F89" s="200">
        <v>0</v>
      </c>
      <c r="G89" s="200">
        <v>420</v>
      </c>
      <c r="H89" s="200">
        <v>0</v>
      </c>
      <c r="I89" s="200">
        <v>0</v>
      </c>
      <c r="J89" s="200">
        <v>0</v>
      </c>
      <c r="K89" s="200">
        <v>0</v>
      </c>
      <c r="L89" s="200">
        <v>0</v>
      </c>
      <c r="M89" s="200">
        <v>0</v>
      </c>
      <c r="N89" s="200">
        <v>0</v>
      </c>
      <c r="O89" s="200">
        <v>0</v>
      </c>
    </row>
    <row r="90" spans="1:15" s="181" customFormat="1" ht="141" customHeight="1">
      <c r="A90" s="197">
        <f t="shared" si="14"/>
        <v>61</v>
      </c>
      <c r="B90" s="202" t="s">
        <v>1097</v>
      </c>
      <c r="C90" s="199">
        <v>3360</v>
      </c>
      <c r="D90" s="199" t="s">
        <v>1098</v>
      </c>
      <c r="E90" s="195">
        <f t="shared" si="12"/>
        <v>1120.22</v>
      </c>
      <c r="F90" s="200">
        <v>0</v>
      </c>
      <c r="G90" s="200">
        <v>0</v>
      </c>
      <c r="H90" s="200">
        <v>144.38999999999999</v>
      </c>
      <c r="I90" s="200">
        <v>33.06</v>
      </c>
      <c r="J90" s="200">
        <v>34.03</v>
      </c>
      <c r="K90" s="200">
        <v>158.46</v>
      </c>
      <c r="L90" s="200">
        <f>(436560000+45940000)/1000000</f>
        <v>482.5</v>
      </c>
      <c r="M90" s="200">
        <v>110.3</v>
      </c>
      <c r="N90" s="200">
        <v>157.47999999999999</v>
      </c>
      <c r="O90" s="200">
        <v>0</v>
      </c>
    </row>
    <row r="91" spans="1:15" s="181" customFormat="1" ht="66" customHeight="1">
      <c r="A91" s="197">
        <f t="shared" si="14"/>
        <v>62</v>
      </c>
      <c r="B91" s="202" t="s">
        <v>1099</v>
      </c>
      <c r="C91" s="199">
        <v>3318</v>
      </c>
      <c r="D91" s="199" t="s">
        <v>1100</v>
      </c>
      <c r="E91" s="195">
        <f t="shared" si="12"/>
        <v>900</v>
      </c>
      <c r="F91" s="200">
        <v>0</v>
      </c>
      <c r="G91" s="200">
        <v>0</v>
      </c>
      <c r="H91" s="200">
        <v>0</v>
      </c>
      <c r="I91" s="200">
        <v>0</v>
      </c>
      <c r="J91" s="200">
        <v>0</v>
      </c>
      <c r="K91" s="200">
        <v>0</v>
      </c>
      <c r="L91" s="200">
        <v>0</v>
      </c>
      <c r="M91" s="200">
        <v>0</v>
      </c>
      <c r="N91" s="200">
        <v>900</v>
      </c>
      <c r="O91" s="200">
        <v>0</v>
      </c>
    </row>
    <row r="92" spans="1:15" s="181" customFormat="1" ht="66" customHeight="1">
      <c r="A92" s="197">
        <f t="shared" si="14"/>
        <v>63</v>
      </c>
      <c r="B92" s="202" t="s">
        <v>1101</v>
      </c>
      <c r="C92" s="199">
        <v>3366</v>
      </c>
      <c r="D92" s="199" t="s">
        <v>1102</v>
      </c>
      <c r="E92" s="195">
        <f t="shared" si="12"/>
        <v>400</v>
      </c>
      <c r="F92" s="200">
        <v>0</v>
      </c>
      <c r="G92" s="200">
        <v>400</v>
      </c>
      <c r="H92" s="200">
        <v>0</v>
      </c>
      <c r="I92" s="200">
        <v>0</v>
      </c>
      <c r="J92" s="200">
        <v>0</v>
      </c>
      <c r="K92" s="200">
        <v>0</v>
      </c>
      <c r="L92" s="200">
        <v>0</v>
      </c>
      <c r="M92" s="200">
        <v>0</v>
      </c>
      <c r="N92" s="200">
        <v>0</v>
      </c>
      <c r="O92" s="200">
        <v>0</v>
      </c>
    </row>
    <row r="93" spans="1:15" s="216" customFormat="1" ht="66" customHeight="1">
      <c r="A93" s="211">
        <f t="shared" si="14"/>
        <v>64</v>
      </c>
      <c r="B93" s="212" t="s">
        <v>1103</v>
      </c>
      <c r="C93" s="213">
        <v>3427</v>
      </c>
      <c r="D93" s="213" t="s">
        <v>1104</v>
      </c>
      <c r="E93" s="214">
        <f t="shared" si="12"/>
        <v>7409.7289999999994</v>
      </c>
      <c r="F93" s="215">
        <v>0</v>
      </c>
      <c r="G93" s="215">
        <v>0</v>
      </c>
      <c r="H93" s="215">
        <v>1882.3409999999999</v>
      </c>
      <c r="I93" s="215">
        <v>2100.982</v>
      </c>
      <c r="J93" s="215">
        <v>0</v>
      </c>
      <c r="K93" s="215">
        <v>3426.4059999999999</v>
      </c>
      <c r="L93" s="215">
        <v>0</v>
      </c>
      <c r="M93" s="215">
        <v>0</v>
      </c>
      <c r="N93" s="215">
        <v>0</v>
      </c>
      <c r="O93" s="215">
        <v>0</v>
      </c>
    </row>
    <row r="94" spans="1:15" s="181" customFormat="1" ht="66" customHeight="1">
      <c r="A94" s="197">
        <f t="shared" si="14"/>
        <v>65</v>
      </c>
      <c r="B94" s="202" t="s">
        <v>1105</v>
      </c>
      <c r="C94" s="199">
        <v>3436</v>
      </c>
      <c r="D94" s="199" t="s">
        <v>1106</v>
      </c>
      <c r="E94" s="195">
        <f t="shared" si="12"/>
        <v>5248.7980000000007</v>
      </c>
      <c r="F94" s="200">
        <v>0</v>
      </c>
      <c r="G94" s="200">
        <v>0</v>
      </c>
      <c r="H94" s="200">
        <v>0</v>
      </c>
      <c r="I94" s="200">
        <v>0</v>
      </c>
      <c r="J94" s="200">
        <v>0</v>
      </c>
      <c r="K94" s="200">
        <v>0</v>
      </c>
      <c r="L94" s="200">
        <v>2722.721</v>
      </c>
      <c r="M94" s="200">
        <v>0</v>
      </c>
      <c r="N94" s="200">
        <v>2526.0770000000002</v>
      </c>
      <c r="O94" s="200">
        <v>0</v>
      </c>
    </row>
    <row r="95" spans="1:15" s="181" customFormat="1" ht="66" customHeight="1">
      <c r="A95" s="197">
        <f t="shared" si="14"/>
        <v>66</v>
      </c>
      <c r="B95" s="202" t="s">
        <v>1105</v>
      </c>
      <c r="C95" s="199">
        <v>3441</v>
      </c>
      <c r="D95" s="199" t="s">
        <v>1107</v>
      </c>
      <c r="E95" s="195">
        <f t="shared" si="12"/>
        <v>73</v>
      </c>
      <c r="F95" s="200">
        <v>0</v>
      </c>
      <c r="G95" s="200">
        <v>73</v>
      </c>
      <c r="H95" s="200">
        <v>0</v>
      </c>
      <c r="I95" s="200">
        <v>0</v>
      </c>
      <c r="J95" s="200">
        <v>0</v>
      </c>
      <c r="K95" s="200">
        <v>0</v>
      </c>
      <c r="L95" s="200">
        <v>0</v>
      </c>
      <c r="M95" s="200">
        <v>0</v>
      </c>
      <c r="N95" s="200">
        <v>0</v>
      </c>
      <c r="O95" s="200">
        <v>0</v>
      </c>
    </row>
    <row r="96" spans="1:15" s="181" customFormat="1" ht="66" customHeight="1">
      <c r="A96" s="197">
        <f t="shared" si="14"/>
        <v>67</v>
      </c>
      <c r="B96" s="202" t="s">
        <v>1108</v>
      </c>
      <c r="C96" s="199">
        <v>3446</v>
      </c>
      <c r="D96" s="199" t="s">
        <v>1109</v>
      </c>
      <c r="E96" s="195">
        <f t="shared" si="12"/>
        <v>39.18</v>
      </c>
      <c r="F96" s="200">
        <v>0</v>
      </c>
      <c r="G96" s="200">
        <v>39.18</v>
      </c>
      <c r="H96" s="200">
        <v>0</v>
      </c>
      <c r="I96" s="200">
        <v>0</v>
      </c>
      <c r="J96" s="200">
        <v>0</v>
      </c>
      <c r="K96" s="200">
        <v>0</v>
      </c>
      <c r="L96" s="200">
        <v>0</v>
      </c>
      <c r="M96" s="200">
        <v>0</v>
      </c>
      <c r="N96" s="200">
        <v>0</v>
      </c>
      <c r="O96" s="200">
        <v>0</v>
      </c>
    </row>
    <row r="97" spans="1:15" s="181" customFormat="1" ht="66" customHeight="1">
      <c r="A97" s="197">
        <f t="shared" si="14"/>
        <v>68</v>
      </c>
      <c r="B97" s="202" t="s">
        <v>1110</v>
      </c>
      <c r="C97" s="199">
        <v>3440</v>
      </c>
      <c r="D97" s="199" t="s">
        <v>1111</v>
      </c>
      <c r="E97" s="195">
        <f t="shared" si="12"/>
        <v>2418.991</v>
      </c>
      <c r="F97" s="200">
        <v>0</v>
      </c>
      <c r="G97" s="200">
        <v>0</v>
      </c>
      <c r="H97" s="200">
        <v>0</v>
      </c>
      <c r="I97" s="200">
        <v>0</v>
      </c>
      <c r="J97" s="200">
        <v>0</v>
      </c>
      <c r="K97" s="200">
        <v>0</v>
      </c>
      <c r="L97" s="200">
        <v>2049.248</v>
      </c>
      <c r="M97" s="200">
        <v>0</v>
      </c>
      <c r="N97" s="200">
        <v>369.74299999999999</v>
      </c>
      <c r="O97" s="200">
        <v>0</v>
      </c>
    </row>
    <row r="98" spans="1:15" s="181" customFormat="1" ht="66" customHeight="1">
      <c r="A98" s="197">
        <f t="shared" si="14"/>
        <v>69</v>
      </c>
      <c r="B98" s="202" t="s">
        <v>1112</v>
      </c>
      <c r="C98" s="199">
        <v>3437</v>
      </c>
      <c r="D98" s="199" t="s">
        <v>1113</v>
      </c>
      <c r="E98" s="195">
        <f t="shared" si="12"/>
        <v>8103.8369999999995</v>
      </c>
      <c r="F98" s="200">
        <v>335.16800000000001</v>
      </c>
      <c r="G98" s="200">
        <v>85.1</v>
      </c>
      <c r="H98" s="200">
        <v>2175.3150000000001</v>
      </c>
      <c r="I98" s="200">
        <v>1732.3989999999999</v>
      </c>
      <c r="J98" s="200">
        <v>1256.944</v>
      </c>
      <c r="K98" s="200">
        <v>1520.35</v>
      </c>
      <c r="L98" s="200">
        <v>273.44900000000001</v>
      </c>
      <c r="M98" s="200">
        <v>551.04600000000005</v>
      </c>
      <c r="N98" s="200">
        <v>174.066</v>
      </c>
      <c r="O98" s="200">
        <v>0</v>
      </c>
    </row>
    <row r="99" spans="1:15" s="181" customFormat="1" ht="66" customHeight="1">
      <c r="A99" s="197">
        <f t="shared" si="14"/>
        <v>70</v>
      </c>
      <c r="B99" s="202" t="s">
        <v>1114</v>
      </c>
      <c r="C99" s="199">
        <v>3518</v>
      </c>
      <c r="D99" s="199" t="s">
        <v>1115</v>
      </c>
      <c r="E99" s="195">
        <f t="shared" si="12"/>
        <v>9220</v>
      </c>
      <c r="F99" s="200">
        <v>0</v>
      </c>
      <c r="G99" s="200">
        <v>0</v>
      </c>
      <c r="H99" s="200">
        <v>825</v>
      </c>
      <c r="I99" s="200">
        <v>2916</v>
      </c>
      <c r="J99" s="200">
        <v>2353</v>
      </c>
      <c r="K99" s="200">
        <v>3126</v>
      </c>
      <c r="L99" s="200">
        <v>0</v>
      </c>
      <c r="M99" s="200">
        <v>0</v>
      </c>
      <c r="N99" s="200">
        <v>0</v>
      </c>
      <c r="O99" s="200">
        <v>0</v>
      </c>
    </row>
    <row r="100" spans="1:15" s="181" customFormat="1" ht="66" customHeight="1">
      <c r="A100" s="197">
        <f t="shared" si="14"/>
        <v>71</v>
      </c>
      <c r="B100" s="202" t="s">
        <v>1116</v>
      </c>
      <c r="C100" s="199">
        <v>3522</v>
      </c>
      <c r="D100" s="199" t="s">
        <v>1117</v>
      </c>
      <c r="E100" s="195">
        <f t="shared" si="12"/>
        <v>1047.385</v>
      </c>
      <c r="F100" s="200">
        <v>0</v>
      </c>
      <c r="G100" s="200">
        <v>0</v>
      </c>
      <c r="H100" s="200">
        <v>338.81</v>
      </c>
      <c r="I100" s="200">
        <v>310.63499999999999</v>
      </c>
      <c r="J100" s="200">
        <v>227.39</v>
      </c>
      <c r="K100" s="200">
        <v>170.55</v>
      </c>
      <c r="L100" s="200">
        <v>0</v>
      </c>
      <c r="M100" s="200">
        <v>0</v>
      </c>
      <c r="N100" s="200">
        <v>0</v>
      </c>
      <c r="O100" s="200">
        <v>0</v>
      </c>
    </row>
    <row r="101" spans="1:15" s="181" customFormat="1" ht="66" customHeight="1">
      <c r="A101" s="197">
        <f t="shared" si="14"/>
        <v>72</v>
      </c>
      <c r="B101" s="202" t="s">
        <v>1118</v>
      </c>
      <c r="C101" s="199">
        <v>3540</v>
      </c>
      <c r="D101" s="199" t="s">
        <v>1119</v>
      </c>
      <c r="E101" s="195">
        <f t="shared" si="12"/>
        <v>686.90700000000004</v>
      </c>
      <c r="F101" s="200">
        <v>0</v>
      </c>
      <c r="G101" s="200">
        <v>0</v>
      </c>
      <c r="H101" s="200">
        <v>291.56900000000002</v>
      </c>
      <c r="I101" s="200">
        <v>0</v>
      </c>
      <c r="J101" s="200">
        <v>395.33800000000002</v>
      </c>
      <c r="K101" s="200">
        <v>0</v>
      </c>
      <c r="L101" s="200">
        <v>0</v>
      </c>
      <c r="M101" s="200">
        <v>0</v>
      </c>
      <c r="N101" s="200">
        <v>0</v>
      </c>
      <c r="O101" s="200">
        <v>0</v>
      </c>
    </row>
    <row r="102" spans="1:15" s="181" customFormat="1" ht="66" customHeight="1">
      <c r="A102" s="197">
        <f t="shared" si="14"/>
        <v>73</v>
      </c>
      <c r="B102" s="202" t="s">
        <v>1118</v>
      </c>
      <c r="C102" s="199">
        <v>3582</v>
      </c>
      <c r="D102" s="199" t="s">
        <v>1120</v>
      </c>
      <c r="E102" s="195">
        <f t="shared" si="12"/>
        <v>324.83</v>
      </c>
      <c r="F102" s="200">
        <v>0</v>
      </c>
      <c r="G102" s="200">
        <v>0</v>
      </c>
      <c r="H102" s="200">
        <v>0</v>
      </c>
      <c r="I102" s="200">
        <v>0</v>
      </c>
      <c r="J102" s="200">
        <v>0</v>
      </c>
      <c r="K102" s="200">
        <v>324.83</v>
      </c>
      <c r="L102" s="200">
        <v>0</v>
      </c>
      <c r="M102" s="200">
        <v>0</v>
      </c>
      <c r="N102" s="200">
        <v>0</v>
      </c>
      <c r="O102" s="200">
        <v>0</v>
      </c>
    </row>
    <row r="103" spans="1:15" s="181" customFormat="1" ht="66" customHeight="1">
      <c r="A103" s="197">
        <f t="shared" si="14"/>
        <v>74</v>
      </c>
      <c r="B103" s="202" t="s">
        <v>1105</v>
      </c>
      <c r="C103" s="199">
        <v>3569</v>
      </c>
      <c r="D103" s="199" t="s">
        <v>1121</v>
      </c>
      <c r="E103" s="195">
        <f t="shared" si="12"/>
        <v>420</v>
      </c>
      <c r="F103" s="200">
        <v>0</v>
      </c>
      <c r="G103" s="200">
        <v>0</v>
      </c>
      <c r="H103" s="200">
        <v>420</v>
      </c>
      <c r="I103" s="200">
        <v>0</v>
      </c>
      <c r="J103" s="200">
        <v>0</v>
      </c>
      <c r="K103" s="200">
        <v>0</v>
      </c>
      <c r="L103" s="200">
        <v>0</v>
      </c>
      <c r="M103" s="200">
        <v>0</v>
      </c>
      <c r="N103" s="200">
        <v>0</v>
      </c>
      <c r="O103" s="200">
        <v>0</v>
      </c>
    </row>
    <row r="104" spans="1:15" s="181" customFormat="1" ht="66" customHeight="1">
      <c r="A104" s="197">
        <f t="shared" si="14"/>
        <v>75</v>
      </c>
      <c r="B104" s="202" t="s">
        <v>1122</v>
      </c>
      <c r="C104" s="199">
        <v>3636</v>
      </c>
      <c r="D104" s="199" t="s">
        <v>1123</v>
      </c>
      <c r="E104" s="195">
        <f t="shared" si="12"/>
        <v>195</v>
      </c>
      <c r="F104" s="200">
        <v>20</v>
      </c>
      <c r="G104" s="200">
        <v>10</v>
      </c>
      <c r="H104" s="200">
        <v>20</v>
      </c>
      <c r="I104" s="200">
        <v>20</v>
      </c>
      <c r="J104" s="200">
        <v>30</v>
      </c>
      <c r="K104" s="200">
        <v>25</v>
      </c>
      <c r="L104" s="200">
        <v>30</v>
      </c>
      <c r="M104" s="200">
        <v>20</v>
      </c>
      <c r="N104" s="200">
        <v>20</v>
      </c>
      <c r="O104" s="200">
        <v>0</v>
      </c>
    </row>
    <row r="105" spans="1:15" s="181" customFormat="1" ht="66" customHeight="1">
      <c r="A105" s="197"/>
      <c r="B105" s="202" t="s">
        <v>1124</v>
      </c>
      <c r="C105" s="199">
        <v>3659</v>
      </c>
      <c r="D105" s="199" t="s">
        <v>1125</v>
      </c>
      <c r="E105" s="195">
        <f t="shared" si="12"/>
        <v>139.44</v>
      </c>
      <c r="F105" s="200">
        <v>0</v>
      </c>
      <c r="G105" s="200">
        <v>0</v>
      </c>
      <c r="H105" s="200">
        <v>0</v>
      </c>
      <c r="I105" s="200">
        <v>0</v>
      </c>
      <c r="J105" s="200">
        <v>78.623999999999995</v>
      </c>
      <c r="K105" s="200">
        <v>60.816000000000003</v>
      </c>
      <c r="L105" s="200">
        <v>0</v>
      </c>
      <c r="M105" s="200">
        <v>0</v>
      </c>
      <c r="N105" s="200">
        <v>0</v>
      </c>
      <c r="O105" s="200">
        <v>0</v>
      </c>
    </row>
    <row r="106" spans="1:15" s="181" customFormat="1" ht="146.25" customHeight="1">
      <c r="A106" s="197">
        <f>A104+1</f>
        <v>76</v>
      </c>
      <c r="B106" s="202" t="s">
        <v>1126</v>
      </c>
      <c r="C106" s="199">
        <v>3673</v>
      </c>
      <c r="D106" s="199" t="s">
        <v>1127</v>
      </c>
      <c r="E106" s="195">
        <f t="shared" si="12"/>
        <v>597.70849999999996</v>
      </c>
      <c r="F106" s="200">
        <v>39</v>
      </c>
      <c r="G106" s="200">
        <v>0</v>
      </c>
      <c r="H106" s="200">
        <v>0</v>
      </c>
      <c r="I106" s="200">
        <v>0</v>
      </c>
      <c r="J106" s="200">
        <v>0</v>
      </c>
      <c r="K106" s="200">
        <v>373.52350000000001</v>
      </c>
      <c r="L106" s="200">
        <v>185.185</v>
      </c>
      <c r="M106" s="200">
        <v>0</v>
      </c>
      <c r="N106" s="200">
        <v>0</v>
      </c>
      <c r="O106" s="200">
        <v>0</v>
      </c>
    </row>
    <row r="107" spans="1:15" s="181" customFormat="1" ht="66" customHeight="1">
      <c r="A107" s="197">
        <f t="shared" si="14"/>
        <v>77</v>
      </c>
      <c r="B107" s="202" t="s">
        <v>1128</v>
      </c>
      <c r="C107" s="199">
        <v>3683</v>
      </c>
      <c r="D107" s="199" t="s">
        <v>1129</v>
      </c>
      <c r="E107" s="195">
        <f t="shared" si="12"/>
        <v>3000</v>
      </c>
      <c r="F107" s="200">
        <v>0</v>
      </c>
      <c r="G107" s="200">
        <v>0</v>
      </c>
      <c r="H107" s="200">
        <v>0</v>
      </c>
      <c r="I107" s="200">
        <v>0</v>
      </c>
      <c r="J107" s="200">
        <v>0</v>
      </c>
      <c r="K107" s="200">
        <v>3000</v>
      </c>
      <c r="L107" s="200">
        <v>0</v>
      </c>
      <c r="M107" s="200">
        <v>0</v>
      </c>
      <c r="N107" s="200">
        <v>0</v>
      </c>
      <c r="O107" s="200">
        <v>0</v>
      </c>
    </row>
    <row r="108" spans="1:15" s="181" customFormat="1" ht="66" customHeight="1">
      <c r="A108" s="197">
        <f t="shared" si="14"/>
        <v>78</v>
      </c>
      <c r="B108" s="202" t="s">
        <v>1130</v>
      </c>
      <c r="C108" s="199">
        <v>3688</v>
      </c>
      <c r="D108" s="199" t="s">
        <v>1131</v>
      </c>
      <c r="E108" s="195">
        <f t="shared" si="12"/>
        <v>61.36</v>
      </c>
      <c r="F108" s="200">
        <v>0</v>
      </c>
      <c r="G108" s="200">
        <v>0</v>
      </c>
      <c r="H108" s="200">
        <v>0</v>
      </c>
      <c r="I108" s="200">
        <v>0</v>
      </c>
      <c r="J108" s="200">
        <v>0</v>
      </c>
      <c r="K108" s="200">
        <v>0</v>
      </c>
      <c r="L108" s="200">
        <v>0</v>
      </c>
      <c r="M108" s="200">
        <v>0</v>
      </c>
      <c r="N108" s="200">
        <v>61.36</v>
      </c>
      <c r="O108" s="200">
        <v>0</v>
      </c>
    </row>
    <row r="109" spans="1:15" s="181" customFormat="1" ht="66" customHeight="1">
      <c r="A109" s="197">
        <f t="shared" si="14"/>
        <v>79</v>
      </c>
      <c r="B109" s="202" t="s">
        <v>1130</v>
      </c>
      <c r="C109" s="199">
        <v>3691</v>
      </c>
      <c r="D109" s="199" t="s">
        <v>1132</v>
      </c>
      <c r="E109" s="195">
        <f t="shared" si="12"/>
        <v>102.02</v>
      </c>
      <c r="F109" s="200">
        <v>0</v>
      </c>
      <c r="G109" s="200">
        <v>0</v>
      </c>
      <c r="H109" s="200">
        <v>0</v>
      </c>
      <c r="I109" s="200">
        <v>0</v>
      </c>
      <c r="J109" s="200">
        <v>0</v>
      </c>
      <c r="K109" s="200">
        <v>0</v>
      </c>
      <c r="L109" s="200">
        <v>0</v>
      </c>
      <c r="M109" s="200">
        <v>102.02</v>
      </c>
      <c r="N109" s="200">
        <v>0</v>
      </c>
      <c r="O109" s="200">
        <v>0</v>
      </c>
    </row>
    <row r="110" spans="1:15" s="181" customFormat="1" ht="66" customHeight="1">
      <c r="A110" s="197">
        <f t="shared" si="14"/>
        <v>80</v>
      </c>
      <c r="B110" s="202" t="s">
        <v>1130</v>
      </c>
      <c r="C110" s="199">
        <v>3690</v>
      </c>
      <c r="D110" s="199" t="s">
        <v>1132</v>
      </c>
      <c r="E110" s="195">
        <f t="shared" si="12"/>
        <v>49.366</v>
      </c>
      <c r="F110" s="200">
        <v>49.366</v>
      </c>
      <c r="G110" s="200">
        <v>0</v>
      </c>
      <c r="H110" s="200">
        <v>0</v>
      </c>
      <c r="I110" s="200">
        <v>0</v>
      </c>
      <c r="J110" s="200">
        <v>0</v>
      </c>
      <c r="K110" s="200">
        <v>0</v>
      </c>
      <c r="L110" s="200">
        <v>0</v>
      </c>
      <c r="M110" s="200">
        <v>0</v>
      </c>
      <c r="N110" s="200">
        <v>0</v>
      </c>
      <c r="O110" s="200">
        <v>0</v>
      </c>
    </row>
    <row r="111" spans="1:15" s="181" customFormat="1" ht="63" customHeight="1">
      <c r="A111" s="197">
        <f t="shared" si="14"/>
        <v>81</v>
      </c>
      <c r="B111" s="210" t="s">
        <v>1133</v>
      </c>
      <c r="C111" s="199">
        <v>3644</v>
      </c>
      <c r="D111" s="199"/>
      <c r="E111" s="195">
        <f t="shared" si="12"/>
        <v>1.0547118733938987E-13</v>
      </c>
      <c r="F111" s="200">
        <v>0</v>
      </c>
      <c r="G111" s="200">
        <v>0</v>
      </c>
      <c r="H111" s="200">
        <v>-533.65599999999995</v>
      </c>
      <c r="I111" s="200">
        <v>534.69000000000005</v>
      </c>
      <c r="J111" s="200">
        <v>0</v>
      </c>
      <c r="K111" s="200">
        <v>0</v>
      </c>
      <c r="L111" s="200">
        <v>0</v>
      </c>
      <c r="M111" s="200">
        <v>0</v>
      </c>
      <c r="N111" s="200">
        <v>-1.034</v>
      </c>
      <c r="O111" s="200">
        <v>0</v>
      </c>
    </row>
    <row r="112" spans="1:15" s="181" customFormat="1" ht="131.25" customHeight="1">
      <c r="A112" s="197">
        <f t="shared" si="14"/>
        <v>82</v>
      </c>
      <c r="B112" s="202" t="s">
        <v>1134</v>
      </c>
      <c r="C112" s="199">
        <v>3704</v>
      </c>
      <c r="D112" s="199" t="s">
        <v>1135</v>
      </c>
      <c r="E112" s="195">
        <f t="shared" si="12"/>
        <v>578.04780000000005</v>
      </c>
      <c r="F112" s="200">
        <v>0</v>
      </c>
      <c r="G112" s="200">
        <v>0</v>
      </c>
      <c r="H112" s="200">
        <v>0</v>
      </c>
      <c r="I112" s="200">
        <v>0</v>
      </c>
      <c r="J112" s="200">
        <v>215.41399999999999</v>
      </c>
      <c r="K112" s="200">
        <v>0</v>
      </c>
      <c r="L112" s="200">
        <v>0</v>
      </c>
      <c r="M112" s="200">
        <v>120</v>
      </c>
      <c r="N112" s="200">
        <v>242.63380000000001</v>
      </c>
      <c r="O112" s="200">
        <v>0</v>
      </c>
    </row>
    <row r="113" spans="1:15" s="181" customFormat="1" ht="66" customHeight="1">
      <c r="A113" s="197">
        <f t="shared" si="14"/>
        <v>83</v>
      </c>
      <c r="B113" s="202" t="s">
        <v>1136</v>
      </c>
      <c r="C113" s="199">
        <v>2781</v>
      </c>
      <c r="D113" s="199" t="s">
        <v>1137</v>
      </c>
      <c r="E113" s="195">
        <f t="shared" si="12"/>
        <v>3051</v>
      </c>
      <c r="F113" s="200">
        <v>0</v>
      </c>
      <c r="G113" s="200">
        <v>0</v>
      </c>
      <c r="H113" s="200">
        <v>0</v>
      </c>
      <c r="I113" s="200">
        <v>0</v>
      </c>
      <c r="J113" s="200">
        <v>2734</v>
      </c>
      <c r="K113" s="200">
        <v>0</v>
      </c>
      <c r="L113" s="200">
        <v>317</v>
      </c>
      <c r="M113" s="200">
        <v>0</v>
      </c>
      <c r="N113" s="200">
        <v>0</v>
      </c>
      <c r="O113" s="200">
        <v>0</v>
      </c>
    </row>
    <row r="114" spans="1:15" s="181" customFormat="1" ht="66" customHeight="1">
      <c r="A114" s="197">
        <f t="shared" si="14"/>
        <v>84</v>
      </c>
      <c r="B114" s="202" t="s">
        <v>1138</v>
      </c>
      <c r="C114" s="199">
        <v>2781</v>
      </c>
      <c r="D114" s="199" t="s">
        <v>1137</v>
      </c>
      <c r="E114" s="195">
        <f t="shared" si="12"/>
        <v>948.72199999999998</v>
      </c>
      <c r="F114" s="200">
        <v>0</v>
      </c>
      <c r="G114" s="200">
        <v>0</v>
      </c>
      <c r="H114" s="200">
        <v>317</v>
      </c>
      <c r="I114" s="200">
        <v>314.72199999999998</v>
      </c>
      <c r="J114" s="200">
        <v>317</v>
      </c>
      <c r="K114" s="200">
        <v>0</v>
      </c>
      <c r="L114" s="200">
        <v>0</v>
      </c>
      <c r="M114" s="200">
        <v>0</v>
      </c>
      <c r="N114" s="200">
        <v>0</v>
      </c>
      <c r="O114" s="200">
        <v>0</v>
      </c>
    </row>
    <row r="115" spans="1:15" s="181" customFormat="1" ht="66" customHeight="1">
      <c r="A115" s="197">
        <f t="shared" si="14"/>
        <v>85</v>
      </c>
      <c r="B115" s="202" t="s">
        <v>1139</v>
      </c>
      <c r="C115" s="199">
        <v>2781</v>
      </c>
      <c r="D115" s="199" t="s">
        <v>1137</v>
      </c>
      <c r="E115" s="195">
        <f t="shared" si="12"/>
        <v>1000.278</v>
      </c>
      <c r="F115" s="200">
        <v>0</v>
      </c>
      <c r="G115" s="200">
        <v>0</v>
      </c>
      <c r="H115" s="200">
        <v>0</v>
      </c>
      <c r="I115" s="200">
        <v>0.27800000000000002</v>
      </c>
      <c r="J115" s="200">
        <v>1000</v>
      </c>
      <c r="K115" s="200">
        <v>0</v>
      </c>
      <c r="L115" s="200">
        <v>0</v>
      </c>
      <c r="M115" s="200">
        <v>0</v>
      </c>
      <c r="N115" s="200">
        <v>0</v>
      </c>
      <c r="O115" s="200">
        <v>0</v>
      </c>
    </row>
  </sheetData>
  <mergeCells count="2">
    <mergeCell ref="J1:K1"/>
    <mergeCell ref="A2:K2"/>
  </mergeCells>
  <dataValidations count="1">
    <dataValidation operator="greaterThan" allowBlank="1" showInputMessage="1" showErrorMessage="1" errorTitle="Lỗi giá trị" error="Đây không phải là một giá trị mã Nhiệm vụ chi" sqref="D30"/>
  </dataValidation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topLeftCell="A16" workbookViewId="0">
      <selection activeCell="M7" sqref="M7"/>
    </sheetView>
  </sheetViews>
  <sheetFormatPr defaultRowHeight="14.25"/>
  <sheetData>
    <row r="2" spans="1:11" s="305" customFormat="1" ht="32.25" customHeight="1">
      <c r="A2" s="1212" t="s">
        <v>1224</v>
      </c>
      <c r="B2" s="1213"/>
      <c r="C2" s="1213"/>
      <c r="D2" s="1213"/>
      <c r="E2" s="1213"/>
      <c r="F2" s="1213"/>
      <c r="G2" s="1213"/>
      <c r="H2" s="1213"/>
    </row>
    <row r="3" spans="1:11" s="305" customFormat="1" ht="17.25">
      <c r="A3" s="306"/>
      <c r="G3" s="1214" t="s">
        <v>2</v>
      </c>
      <c r="H3" s="1214"/>
    </row>
    <row r="4" spans="1:11" s="307" customFormat="1" ht="33" customHeight="1">
      <c r="A4" s="1215" t="s">
        <v>3</v>
      </c>
      <c r="B4" s="1217" t="s">
        <v>1225</v>
      </c>
      <c r="C4" s="1217" t="s">
        <v>1226</v>
      </c>
      <c r="D4" s="1217" t="s">
        <v>1227</v>
      </c>
      <c r="E4" s="1217" t="s">
        <v>1228</v>
      </c>
      <c r="F4" s="1217" t="s">
        <v>1229</v>
      </c>
      <c r="G4" s="1217" t="s">
        <v>1230</v>
      </c>
      <c r="H4" s="1217" t="s">
        <v>1231</v>
      </c>
      <c r="I4" s="1219" t="s">
        <v>158</v>
      </c>
      <c r="J4" s="1220"/>
      <c r="K4" s="1221" t="s">
        <v>1232</v>
      </c>
    </row>
    <row r="5" spans="1:11" s="305" customFormat="1" ht="66">
      <c r="A5" s="1216"/>
      <c r="B5" s="1218"/>
      <c r="C5" s="1218"/>
      <c r="D5" s="1218"/>
      <c r="E5" s="1218"/>
      <c r="F5" s="1218"/>
      <c r="G5" s="1218"/>
      <c r="H5" s="1218"/>
      <c r="I5" s="308" t="s">
        <v>1233</v>
      </c>
      <c r="J5" s="309" t="s">
        <v>1234</v>
      </c>
      <c r="K5" s="1221"/>
    </row>
    <row r="6" spans="1:11" s="312" customFormat="1" ht="24.75" customHeight="1">
      <c r="A6" s="309" t="s">
        <v>9</v>
      </c>
      <c r="B6" s="310" t="s">
        <v>1235</v>
      </c>
      <c r="C6" s="311">
        <v>208</v>
      </c>
      <c r="D6" s="311">
        <f>SUM(D7:D17)</f>
        <v>6467.16</v>
      </c>
      <c r="E6" s="311">
        <f>E7+SUM(E10:E17)</f>
        <v>6538</v>
      </c>
      <c r="F6" s="311">
        <f>SUM(F7:F18)</f>
        <v>6406.7470000000003</v>
      </c>
      <c r="G6" s="311">
        <f>G7+G10+G11</f>
        <v>0</v>
      </c>
      <c r="H6" s="311">
        <f>SUM(H7:H17)</f>
        <v>931.41700000000014</v>
      </c>
      <c r="I6" s="311">
        <f>SUM(I7:I17)</f>
        <v>0</v>
      </c>
      <c r="J6" s="311">
        <f>J7+J10+J14+J17</f>
        <v>931.41700000000014</v>
      </c>
      <c r="K6" s="310"/>
    </row>
    <row r="7" spans="1:11" s="317" customFormat="1" ht="148.5">
      <c r="A7" s="313">
        <v>1</v>
      </c>
      <c r="B7" s="314" t="s">
        <v>1236</v>
      </c>
      <c r="C7" s="315">
        <v>207.815</v>
      </c>
      <c r="D7" s="315">
        <v>1784.1</v>
      </c>
      <c r="E7" s="315">
        <v>1800</v>
      </c>
      <c r="F7" s="315">
        <v>1991.924</v>
      </c>
      <c r="G7" s="315"/>
      <c r="H7" s="315">
        <f>E7+C7-F7</f>
        <v>15.891000000000076</v>
      </c>
      <c r="I7" s="315"/>
      <c r="J7" s="315">
        <f>H7</f>
        <v>15.891000000000076</v>
      </c>
      <c r="K7" s="316"/>
    </row>
    <row r="8" spans="1:11" s="305" customFormat="1" ht="82.5">
      <c r="A8" s="318" t="s">
        <v>16</v>
      </c>
      <c r="B8" s="319" t="s">
        <v>1237</v>
      </c>
      <c r="C8" s="320"/>
      <c r="D8" s="320"/>
      <c r="E8" s="320">
        <v>950</v>
      </c>
      <c r="F8" s="320"/>
      <c r="G8" s="320"/>
      <c r="H8" s="320"/>
      <c r="I8" s="320"/>
      <c r="J8" s="320"/>
      <c r="K8" s="321"/>
    </row>
    <row r="9" spans="1:11" s="305" customFormat="1" ht="82.5">
      <c r="A9" s="318" t="s">
        <v>16</v>
      </c>
      <c r="B9" s="319" t="s">
        <v>1238</v>
      </c>
      <c r="C9" s="320"/>
      <c r="D9" s="320"/>
      <c r="E9" s="320">
        <v>850</v>
      </c>
      <c r="F9" s="320"/>
      <c r="G9" s="320"/>
      <c r="H9" s="320"/>
      <c r="I9" s="320"/>
      <c r="J9" s="320"/>
      <c r="K9" s="321"/>
    </row>
    <row r="10" spans="1:11" s="317" customFormat="1" ht="82.5">
      <c r="A10" s="313">
        <v>2</v>
      </c>
      <c r="B10" s="314" t="s">
        <v>1239</v>
      </c>
      <c r="C10" s="315">
        <v>0</v>
      </c>
      <c r="D10" s="315">
        <v>325.06</v>
      </c>
      <c r="E10" s="315">
        <v>380</v>
      </c>
      <c r="F10" s="315">
        <v>325</v>
      </c>
      <c r="G10" s="315"/>
      <c r="H10" s="315">
        <f>E10-F10</f>
        <v>55</v>
      </c>
      <c r="I10" s="315"/>
      <c r="J10" s="315">
        <v>55</v>
      </c>
      <c r="K10" s="316"/>
    </row>
    <row r="11" spans="1:11" s="317" customFormat="1" ht="66">
      <c r="A11" s="313">
        <v>3</v>
      </c>
      <c r="B11" s="314" t="s">
        <v>1240</v>
      </c>
      <c r="C11" s="315"/>
      <c r="D11" s="315">
        <v>300</v>
      </c>
      <c r="E11" s="315">
        <v>300</v>
      </c>
      <c r="F11" s="315">
        <v>300</v>
      </c>
      <c r="G11" s="315"/>
      <c r="H11" s="315"/>
      <c r="I11" s="315"/>
      <c r="J11" s="315"/>
      <c r="K11" s="316"/>
    </row>
    <row r="12" spans="1:11" s="317" customFormat="1" ht="16.5">
      <c r="A12" s="313"/>
      <c r="B12" s="314"/>
      <c r="C12" s="315"/>
      <c r="D12" s="315"/>
      <c r="E12" s="315"/>
      <c r="F12" s="315">
        <v>942.34900000000005</v>
      </c>
      <c r="G12" s="315"/>
      <c r="H12" s="315"/>
      <c r="I12" s="315"/>
      <c r="J12" s="315"/>
      <c r="K12" s="316"/>
    </row>
    <row r="13" spans="1:11" s="317" customFormat="1" ht="82.5">
      <c r="A13" s="313">
        <v>4</v>
      </c>
      <c r="B13" s="314" t="s">
        <v>1241</v>
      </c>
      <c r="C13" s="315"/>
      <c r="D13" s="315">
        <v>300</v>
      </c>
      <c r="E13" s="315">
        <v>300</v>
      </c>
      <c r="F13" s="315">
        <v>300</v>
      </c>
      <c r="G13" s="315"/>
      <c r="H13" s="315"/>
      <c r="I13" s="315"/>
      <c r="J13" s="315"/>
      <c r="K13" s="316"/>
    </row>
    <row r="14" spans="1:11" s="317" customFormat="1" ht="82.5">
      <c r="A14" s="313">
        <v>5</v>
      </c>
      <c r="B14" s="314" t="s">
        <v>1242</v>
      </c>
      <c r="C14" s="315"/>
      <c r="D14" s="315">
        <v>1330</v>
      </c>
      <c r="E14" s="315">
        <v>1330</v>
      </c>
      <c r="F14" s="322">
        <f>[3]Sheet1!J19+[3]Sheet1!J20+[3]Sheet1!J21+[3]Sheet1!J22+[3]Sheet1!J23</f>
        <v>521.04999999999995</v>
      </c>
      <c r="G14" s="315"/>
      <c r="H14" s="315">
        <f>D14-F14</f>
        <v>808.95</v>
      </c>
      <c r="I14" s="315"/>
      <c r="J14" s="315">
        <f>H14</f>
        <v>808.95</v>
      </c>
      <c r="K14" s="316"/>
    </row>
    <row r="15" spans="1:11" s="317" customFormat="1" ht="49.5">
      <c r="A15" s="313">
        <v>6</v>
      </c>
      <c r="B15" s="314" t="s">
        <v>1243</v>
      </c>
      <c r="C15" s="315"/>
      <c r="D15" s="315">
        <v>1100</v>
      </c>
      <c r="E15" s="315">
        <v>1100</v>
      </c>
      <c r="F15" s="315">
        <f>[3]Sheet1!J26+[3]Sheet1!J27</f>
        <v>750</v>
      </c>
      <c r="G15" s="315"/>
      <c r="H15" s="315"/>
      <c r="I15" s="315"/>
      <c r="J15" s="315"/>
      <c r="K15" s="316"/>
    </row>
    <row r="16" spans="1:11" s="317" customFormat="1" ht="17.25" customHeight="1">
      <c r="A16" s="313">
        <v>7</v>
      </c>
      <c r="B16" s="314" t="s">
        <v>1244</v>
      </c>
      <c r="C16" s="315"/>
      <c r="D16" s="315">
        <v>826</v>
      </c>
      <c r="E16" s="315">
        <v>826</v>
      </c>
      <c r="F16" s="315">
        <v>826</v>
      </c>
      <c r="G16" s="315"/>
      <c r="H16" s="315"/>
      <c r="I16" s="315"/>
      <c r="J16" s="315"/>
      <c r="K16" s="316"/>
    </row>
    <row r="17" spans="1:11" s="317" customFormat="1" ht="66">
      <c r="A17" s="313">
        <v>8</v>
      </c>
      <c r="B17" s="314" t="s">
        <v>1245</v>
      </c>
      <c r="C17" s="315"/>
      <c r="D17" s="315">
        <v>502</v>
      </c>
      <c r="E17" s="315">
        <v>502</v>
      </c>
      <c r="F17" s="315">
        <v>450.42399999999998</v>
      </c>
      <c r="G17" s="315"/>
      <c r="H17" s="315">
        <v>51.576000000000001</v>
      </c>
      <c r="I17" s="315"/>
      <c r="J17" s="315">
        <v>51.576000000000001</v>
      </c>
      <c r="K17" s="316"/>
    </row>
    <row r="18" spans="1:11" s="317" customFormat="1" ht="16.5">
      <c r="A18" s="313"/>
      <c r="B18" s="314"/>
      <c r="C18" s="315"/>
      <c r="D18" s="315"/>
      <c r="E18" s="315"/>
      <c r="F18" s="315">
        <f>[3]Sheet1!J14</f>
        <v>0</v>
      </c>
      <c r="G18" s="315"/>
      <c r="H18" s="315"/>
      <c r="I18" s="315"/>
      <c r="J18" s="315"/>
      <c r="K18" s="316"/>
    </row>
    <row r="19" spans="1:11" s="317" customFormat="1" ht="16.5">
      <c r="A19" s="313"/>
      <c r="B19" s="314"/>
      <c r="C19" s="315"/>
      <c r="D19" s="315"/>
      <c r="E19" s="315"/>
      <c r="F19" s="315"/>
      <c r="G19" s="315"/>
      <c r="H19" s="315"/>
      <c r="I19" s="315"/>
      <c r="J19" s="315"/>
      <c r="K19" s="316"/>
    </row>
    <row r="20" spans="1:11" s="312" customFormat="1" ht="165">
      <c r="A20" s="309" t="s">
        <v>10</v>
      </c>
      <c r="B20" s="323" t="s">
        <v>1246</v>
      </c>
      <c r="C20" s="311"/>
      <c r="D20" s="311">
        <f>D21</f>
        <v>2028.2049999999999</v>
      </c>
      <c r="E20" s="311">
        <f>E21</f>
        <v>2865</v>
      </c>
      <c r="F20" s="311">
        <f>F21</f>
        <v>2028.2049999999999</v>
      </c>
      <c r="G20" s="311"/>
      <c r="H20" s="311"/>
      <c r="I20" s="311"/>
      <c r="J20" s="311"/>
      <c r="K20" s="324"/>
    </row>
    <row r="21" spans="1:11" s="305" customFormat="1" ht="26.25" customHeight="1">
      <c r="A21" s="325"/>
      <c r="B21" s="319" t="s">
        <v>1247</v>
      </c>
      <c r="C21" s="320"/>
      <c r="D21" s="320">
        <v>2028.2049999999999</v>
      </c>
      <c r="E21" s="320">
        <f>195+70+2600</f>
        <v>2865</v>
      </c>
      <c r="F21" s="320">
        <v>2028.2049999999999</v>
      </c>
      <c r="G21" s="320"/>
      <c r="H21" s="326">
        <f>E21-F21</f>
        <v>836.79500000000007</v>
      </c>
      <c r="I21" s="320"/>
      <c r="J21" s="326">
        <f>H21</f>
        <v>836.79500000000007</v>
      </c>
      <c r="K21" s="321" t="s">
        <v>1248</v>
      </c>
    </row>
  </sheetData>
  <mergeCells count="12">
    <mergeCell ref="I4:J4"/>
    <mergeCell ref="K4:K5"/>
    <mergeCell ref="A2:H2"/>
    <mergeCell ref="G3:H3"/>
    <mergeCell ref="A4:A5"/>
    <mergeCell ref="B4:B5"/>
    <mergeCell ref="C4:C5"/>
    <mergeCell ref="D4:D5"/>
    <mergeCell ref="E4:E5"/>
    <mergeCell ref="F4:F5"/>
    <mergeCell ref="G4:G5"/>
    <mergeCell ref="H4:H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pane ySplit="7" topLeftCell="A20" activePane="bottomLeft" state="frozen"/>
      <selection pane="bottomLeft" activeCell="P10" sqref="P10"/>
    </sheetView>
  </sheetViews>
  <sheetFormatPr defaultRowHeight="15"/>
  <cols>
    <col min="1" max="1" width="5" style="329" customWidth="1"/>
    <col min="2" max="2" width="19.25" style="329" customWidth="1"/>
    <col min="3" max="3" width="9.625" style="329" bestFit="1" customWidth="1"/>
    <col min="4" max="4" width="10" style="329" customWidth="1"/>
    <col min="5" max="5" width="8.75" style="329" customWidth="1"/>
    <col min="6" max="8" width="11.375" style="329" customWidth="1"/>
    <col min="9" max="9" width="10.375" style="329" customWidth="1"/>
    <col min="10" max="11" width="11.375" style="329" customWidth="1"/>
    <col min="12" max="12" width="10.125" style="329" customWidth="1"/>
    <col min="13" max="16384" width="9" style="329"/>
  </cols>
  <sheetData>
    <row r="1" spans="1:12">
      <c r="K1" s="374" t="s">
        <v>193</v>
      </c>
    </row>
    <row r="2" spans="1:12">
      <c r="A2" s="1223" t="s">
        <v>238</v>
      </c>
      <c r="B2" s="1223"/>
      <c r="C2" s="1223"/>
      <c r="D2" s="1223"/>
      <c r="E2" s="1223"/>
      <c r="F2" s="1223"/>
      <c r="G2" s="1223"/>
      <c r="H2" s="1223"/>
      <c r="I2" s="1223"/>
      <c r="J2" s="1223"/>
      <c r="K2" s="1223"/>
      <c r="L2" s="1223"/>
    </row>
    <row r="3" spans="1:12">
      <c r="A3" s="1224" t="s">
        <v>1249</v>
      </c>
      <c r="B3" s="1224"/>
      <c r="C3" s="1224"/>
      <c r="D3" s="1224"/>
      <c r="E3" s="1224"/>
      <c r="F3" s="1224"/>
      <c r="G3" s="1224"/>
      <c r="H3" s="1224"/>
      <c r="I3" s="1224"/>
      <c r="J3" s="1224"/>
      <c r="K3" s="1224"/>
      <c r="L3" s="1224"/>
    </row>
    <row r="4" spans="1:12">
      <c r="L4" s="375" t="s">
        <v>2</v>
      </c>
    </row>
    <row r="5" spans="1:12">
      <c r="A5" s="1222" t="s">
        <v>3</v>
      </c>
      <c r="B5" s="1222" t="s">
        <v>194</v>
      </c>
      <c r="C5" s="1222" t="s">
        <v>1270</v>
      </c>
      <c r="D5" s="1222" t="s">
        <v>239</v>
      </c>
      <c r="E5" s="1222"/>
      <c r="F5" s="1222"/>
      <c r="G5" s="1222"/>
      <c r="H5" s="1222" t="s">
        <v>240</v>
      </c>
      <c r="I5" s="1222"/>
      <c r="J5" s="1222"/>
      <c r="K5" s="1222"/>
      <c r="L5" s="1222" t="s">
        <v>1269</v>
      </c>
    </row>
    <row r="6" spans="1:12" ht="25.5" customHeight="1">
      <c r="A6" s="1222"/>
      <c r="B6" s="1222"/>
      <c r="C6" s="1222"/>
      <c r="D6" s="1222" t="s">
        <v>195</v>
      </c>
      <c r="E6" s="1222"/>
      <c r="F6" s="1222" t="s">
        <v>196</v>
      </c>
      <c r="G6" s="1222" t="s">
        <v>197</v>
      </c>
      <c r="H6" s="1222" t="s">
        <v>195</v>
      </c>
      <c r="I6" s="1222"/>
      <c r="J6" s="1222" t="s">
        <v>196</v>
      </c>
      <c r="K6" s="1222" t="s">
        <v>197</v>
      </c>
      <c r="L6" s="1222"/>
    </row>
    <row r="7" spans="1:12" ht="51">
      <c r="A7" s="1222"/>
      <c r="B7" s="1222"/>
      <c r="C7" s="1222"/>
      <c r="D7" s="328" t="s">
        <v>153</v>
      </c>
      <c r="E7" s="328" t="s">
        <v>1271</v>
      </c>
      <c r="F7" s="1222"/>
      <c r="G7" s="1222"/>
      <c r="H7" s="328" t="s">
        <v>153</v>
      </c>
      <c r="I7" s="328" t="s">
        <v>1271</v>
      </c>
      <c r="J7" s="1222"/>
      <c r="K7" s="1222"/>
      <c r="L7" s="1222"/>
    </row>
    <row r="8" spans="1:12">
      <c r="A8" s="328" t="s">
        <v>9</v>
      </c>
      <c r="B8" s="328" t="s">
        <v>10</v>
      </c>
      <c r="C8" s="328">
        <v>1</v>
      </c>
      <c r="D8" s="328">
        <v>2</v>
      </c>
      <c r="E8" s="328">
        <v>3</v>
      </c>
      <c r="F8" s="328">
        <v>4</v>
      </c>
      <c r="G8" s="328" t="s">
        <v>198</v>
      </c>
      <c r="H8" s="328">
        <v>6</v>
      </c>
      <c r="I8" s="328">
        <v>7</v>
      </c>
      <c r="J8" s="328">
        <v>8</v>
      </c>
      <c r="K8" s="328" t="s">
        <v>199</v>
      </c>
      <c r="L8" s="328" t="s">
        <v>200</v>
      </c>
    </row>
    <row r="9" spans="1:12" ht="15.75">
      <c r="A9" s="376">
        <v>1</v>
      </c>
      <c r="B9" s="377" t="s">
        <v>1250</v>
      </c>
      <c r="C9" s="378">
        <v>2809.1640000000002</v>
      </c>
      <c r="D9" s="378">
        <v>2200</v>
      </c>
      <c r="E9" s="378"/>
      <c r="F9" s="378">
        <v>649</v>
      </c>
      <c r="G9" s="379">
        <f t="shared" ref="G9:G27" si="0">D9-F9</f>
        <v>1551</v>
      </c>
      <c r="H9" s="378">
        <v>2257</v>
      </c>
      <c r="I9" s="378"/>
      <c r="J9" s="378">
        <v>589</v>
      </c>
      <c r="K9" s="379">
        <f t="shared" ref="K9:K27" si="1">H9-J9</f>
        <v>1668</v>
      </c>
      <c r="L9" s="379">
        <f t="shared" ref="L9:L27" si="2">C9+H9-J9</f>
        <v>4477.1640000000007</v>
      </c>
    </row>
    <row r="10" spans="1:12" ht="31.5">
      <c r="A10" s="376">
        <v>2</v>
      </c>
      <c r="B10" s="377" t="s">
        <v>1251</v>
      </c>
      <c r="C10" s="378">
        <v>0</v>
      </c>
      <c r="D10" s="378">
        <v>60</v>
      </c>
      <c r="E10" s="378"/>
      <c r="F10" s="378">
        <v>60</v>
      </c>
      <c r="G10" s="379">
        <f t="shared" si="0"/>
        <v>0</v>
      </c>
      <c r="H10" s="378">
        <v>86.4</v>
      </c>
      <c r="I10" s="378"/>
      <c r="J10" s="378">
        <v>60.6</v>
      </c>
      <c r="K10" s="383">
        <v>25</v>
      </c>
      <c r="L10" s="383">
        <v>25</v>
      </c>
    </row>
    <row r="11" spans="1:12" ht="47.25">
      <c r="A11" s="376">
        <v>3</v>
      </c>
      <c r="B11" s="377" t="s">
        <v>1252</v>
      </c>
      <c r="C11" s="378">
        <v>8063.2</v>
      </c>
      <c r="D11" s="378">
        <v>0</v>
      </c>
      <c r="E11" s="378">
        <v>0</v>
      </c>
      <c r="F11" s="378">
        <v>5272.93</v>
      </c>
      <c r="G11" s="379">
        <f t="shared" si="0"/>
        <v>-5272.93</v>
      </c>
      <c r="H11" s="378">
        <v>2366</v>
      </c>
      <c r="I11" s="378">
        <v>0</v>
      </c>
      <c r="J11" s="378">
        <v>3360</v>
      </c>
      <c r="K11" s="379">
        <f t="shared" si="1"/>
        <v>-994</v>
      </c>
      <c r="L11" s="379">
        <f t="shared" si="2"/>
        <v>7069.2000000000007</v>
      </c>
    </row>
    <row r="12" spans="1:12" ht="31.5">
      <c r="A12" s="376">
        <v>4</v>
      </c>
      <c r="B12" s="377" t="s">
        <v>1253</v>
      </c>
      <c r="C12" s="378">
        <v>451</v>
      </c>
      <c r="D12" s="378">
        <v>11000</v>
      </c>
      <c r="E12" s="378">
        <v>11000</v>
      </c>
      <c r="F12" s="378">
        <v>11000</v>
      </c>
      <c r="G12" s="379">
        <f t="shared" si="0"/>
        <v>0</v>
      </c>
      <c r="H12" s="378">
        <f>I12</f>
        <v>10000</v>
      </c>
      <c r="I12" s="378">
        <v>10000</v>
      </c>
      <c r="J12" s="378"/>
      <c r="K12" s="379">
        <f t="shared" si="1"/>
        <v>10000</v>
      </c>
      <c r="L12" s="379">
        <f t="shared" si="2"/>
        <v>10451</v>
      </c>
    </row>
    <row r="13" spans="1:12" ht="15.75">
      <c r="A13" s="376">
        <v>5</v>
      </c>
      <c r="B13" s="377" t="s">
        <v>1254</v>
      </c>
      <c r="C13" s="378">
        <v>7197</v>
      </c>
      <c r="D13" s="378">
        <v>12825</v>
      </c>
      <c r="E13" s="378"/>
      <c r="F13" s="378">
        <v>11458</v>
      </c>
      <c r="G13" s="379">
        <f t="shared" si="0"/>
        <v>1367</v>
      </c>
      <c r="H13" s="378">
        <v>13160</v>
      </c>
      <c r="I13" s="378"/>
      <c r="J13" s="378">
        <v>12820</v>
      </c>
      <c r="K13" s="379">
        <f t="shared" si="1"/>
        <v>340</v>
      </c>
      <c r="L13" s="379">
        <f t="shared" si="2"/>
        <v>7537</v>
      </c>
    </row>
    <row r="14" spans="1:12" ht="15.75">
      <c r="A14" s="376">
        <v>6</v>
      </c>
      <c r="B14" s="377" t="s">
        <v>1255</v>
      </c>
      <c r="C14" s="378">
        <v>530</v>
      </c>
      <c r="D14" s="378">
        <v>8900</v>
      </c>
      <c r="E14" s="378"/>
      <c r="F14" s="378">
        <v>9100</v>
      </c>
      <c r="G14" s="379">
        <f t="shared" si="0"/>
        <v>-200</v>
      </c>
      <c r="H14" s="378">
        <v>6867</v>
      </c>
      <c r="I14" s="378"/>
      <c r="J14" s="378">
        <v>6867</v>
      </c>
      <c r="K14" s="379">
        <f t="shared" si="1"/>
        <v>0</v>
      </c>
      <c r="L14" s="379">
        <f t="shared" si="2"/>
        <v>530</v>
      </c>
    </row>
    <row r="15" spans="1:12" ht="15.75">
      <c r="A15" s="376">
        <v>7</v>
      </c>
      <c r="B15" s="377" t="s">
        <v>1256</v>
      </c>
      <c r="C15" s="378">
        <v>3043.91</v>
      </c>
      <c r="D15" s="378">
        <v>108.027</v>
      </c>
      <c r="E15" s="378"/>
      <c r="F15" s="378">
        <v>26.285</v>
      </c>
      <c r="G15" s="379">
        <f t="shared" si="0"/>
        <v>81.742000000000004</v>
      </c>
      <c r="H15" s="378">
        <v>108.027</v>
      </c>
      <c r="I15" s="378"/>
      <c r="J15" s="378">
        <v>26.285</v>
      </c>
      <c r="K15" s="379">
        <f t="shared" si="1"/>
        <v>81.742000000000004</v>
      </c>
      <c r="L15" s="379">
        <f t="shared" si="2"/>
        <v>3125.652</v>
      </c>
    </row>
    <row r="16" spans="1:12" ht="31.5">
      <c r="A16" s="376">
        <v>8</v>
      </c>
      <c r="B16" s="377" t="s">
        <v>1257</v>
      </c>
      <c r="C16" s="378">
        <v>3501.12</v>
      </c>
      <c r="D16" s="378">
        <v>110</v>
      </c>
      <c r="E16" s="378"/>
      <c r="F16" s="378">
        <v>50</v>
      </c>
      <c r="G16" s="379">
        <f t="shared" si="0"/>
        <v>60</v>
      </c>
      <c r="H16" s="380">
        <v>114</v>
      </c>
      <c r="I16" s="378"/>
      <c r="J16" s="380">
        <v>55</v>
      </c>
      <c r="K16" s="379">
        <f t="shared" si="1"/>
        <v>59</v>
      </c>
      <c r="L16" s="379">
        <f t="shared" si="2"/>
        <v>3560.12</v>
      </c>
    </row>
    <row r="17" spans="1:12" ht="15.75">
      <c r="A17" s="376">
        <v>9</v>
      </c>
      <c r="B17" s="377" t="s">
        <v>1258</v>
      </c>
      <c r="C17" s="378">
        <v>2467.767437</v>
      </c>
      <c r="D17" s="378">
        <v>4044.8395959999998</v>
      </c>
      <c r="E17" s="378"/>
      <c r="F17" s="378">
        <v>6187.88015</v>
      </c>
      <c r="G17" s="379">
        <f t="shared" si="0"/>
        <v>-2143.0405540000002</v>
      </c>
      <c r="H17" s="378">
        <v>5918.342251</v>
      </c>
      <c r="I17" s="378"/>
      <c r="J17" s="378">
        <v>7520.57665</v>
      </c>
      <c r="K17" s="379">
        <f t="shared" si="1"/>
        <v>-1602.2343989999999</v>
      </c>
      <c r="L17" s="379">
        <f t="shared" si="2"/>
        <v>865.53303800000049</v>
      </c>
    </row>
    <row r="18" spans="1:12" ht="15.75">
      <c r="A18" s="376">
        <v>10</v>
      </c>
      <c r="B18" s="377" t="s">
        <v>1259</v>
      </c>
      <c r="C18" s="378">
        <v>2343.0818960000001</v>
      </c>
      <c r="D18" s="378">
        <v>8903.4941569999992</v>
      </c>
      <c r="E18" s="378"/>
      <c r="F18" s="378">
        <v>4315.2035999999998</v>
      </c>
      <c r="G18" s="379">
        <f t="shared" si="0"/>
        <v>4588.2905569999994</v>
      </c>
      <c r="H18" s="378">
        <v>12275.986483000001</v>
      </c>
      <c r="I18" s="378"/>
      <c r="J18" s="378">
        <v>4870.6656000000003</v>
      </c>
      <c r="K18" s="379">
        <f t="shared" si="1"/>
        <v>7405.3208830000003</v>
      </c>
      <c r="L18" s="379">
        <f t="shared" si="2"/>
        <v>9748.402779</v>
      </c>
    </row>
    <row r="19" spans="1:12" ht="31.5">
      <c r="A19" s="376">
        <v>11</v>
      </c>
      <c r="B19" s="377" t="s">
        <v>1260</v>
      </c>
      <c r="C19" s="378">
        <v>1186</v>
      </c>
      <c r="D19" s="378">
        <v>1100</v>
      </c>
      <c r="E19" s="378"/>
      <c r="F19" s="378">
        <v>700</v>
      </c>
      <c r="G19" s="379">
        <f t="shared" si="0"/>
        <v>400</v>
      </c>
      <c r="H19" s="378">
        <v>1133</v>
      </c>
      <c r="I19" s="378"/>
      <c r="J19" s="378">
        <v>666</v>
      </c>
      <c r="K19" s="379">
        <f t="shared" si="1"/>
        <v>467</v>
      </c>
      <c r="L19" s="379">
        <f t="shared" si="2"/>
        <v>1653</v>
      </c>
    </row>
    <row r="20" spans="1:12" ht="15.75">
      <c r="A20" s="376">
        <v>12</v>
      </c>
      <c r="B20" s="377" t="s">
        <v>1261</v>
      </c>
      <c r="C20" s="378">
        <v>103.987859</v>
      </c>
      <c r="D20" s="378">
        <v>3666</v>
      </c>
      <c r="E20" s="378"/>
      <c r="F20" s="378">
        <v>3707.1416709999999</v>
      </c>
      <c r="G20" s="379">
        <f t="shared" si="0"/>
        <v>-41.14167099999986</v>
      </c>
      <c r="H20" s="378">
        <v>4800</v>
      </c>
      <c r="I20" s="378"/>
      <c r="J20" s="378">
        <v>4900</v>
      </c>
      <c r="K20" s="379">
        <f t="shared" si="1"/>
        <v>-100</v>
      </c>
      <c r="L20" s="379">
        <f t="shared" si="2"/>
        <v>3.9878589999998439</v>
      </c>
    </row>
    <row r="21" spans="1:12" ht="15.75">
      <c r="A21" s="376">
        <v>13</v>
      </c>
      <c r="B21" s="377" t="s">
        <v>1262</v>
      </c>
      <c r="C21" s="378">
        <v>3465</v>
      </c>
      <c r="D21" s="379">
        <v>254</v>
      </c>
      <c r="E21" s="379"/>
      <c r="F21" s="379">
        <v>204</v>
      </c>
      <c r="G21" s="379">
        <f t="shared" si="0"/>
        <v>50</v>
      </c>
      <c r="H21" s="379">
        <v>254</v>
      </c>
      <c r="I21" s="379"/>
      <c r="J21" s="379"/>
      <c r="K21" s="379">
        <f t="shared" si="1"/>
        <v>254</v>
      </c>
      <c r="L21" s="379">
        <f t="shared" si="2"/>
        <v>3719</v>
      </c>
    </row>
    <row r="22" spans="1:12" ht="15.75">
      <c r="A22" s="376">
        <v>14</v>
      </c>
      <c r="B22" s="377" t="s">
        <v>1263</v>
      </c>
      <c r="C22" s="378">
        <v>47</v>
      </c>
      <c r="D22" s="379">
        <v>179</v>
      </c>
      <c r="E22" s="379"/>
      <c r="F22" s="379">
        <v>200</v>
      </c>
      <c r="G22" s="379">
        <f t="shared" si="0"/>
        <v>-21</v>
      </c>
      <c r="H22" s="379">
        <v>179</v>
      </c>
      <c r="I22" s="379"/>
      <c r="J22" s="379"/>
      <c r="K22" s="379">
        <f t="shared" si="1"/>
        <v>179</v>
      </c>
      <c r="L22" s="379">
        <f t="shared" si="2"/>
        <v>226</v>
      </c>
    </row>
    <row r="23" spans="1:12" ht="15.75">
      <c r="A23" s="376">
        <v>15</v>
      </c>
      <c r="B23" s="377" t="s">
        <v>1264</v>
      </c>
      <c r="C23" s="378">
        <v>42</v>
      </c>
      <c r="D23" s="379">
        <v>73</v>
      </c>
      <c r="E23" s="379"/>
      <c r="F23" s="379">
        <v>95</v>
      </c>
      <c r="G23" s="379">
        <f t="shared" si="0"/>
        <v>-22</v>
      </c>
      <c r="H23" s="379">
        <v>73</v>
      </c>
      <c r="I23" s="379"/>
      <c r="J23" s="379"/>
      <c r="K23" s="379">
        <f t="shared" si="1"/>
        <v>73</v>
      </c>
      <c r="L23" s="379">
        <f t="shared" si="2"/>
        <v>115</v>
      </c>
    </row>
    <row r="24" spans="1:12" ht="15.75">
      <c r="A24" s="376">
        <v>16</v>
      </c>
      <c r="B24" s="377" t="s">
        <v>1265</v>
      </c>
      <c r="C24" s="378">
        <v>10</v>
      </c>
      <c r="D24" s="379">
        <v>150</v>
      </c>
      <c r="E24" s="379"/>
      <c r="F24" s="379">
        <v>160</v>
      </c>
      <c r="G24" s="379">
        <f t="shared" si="0"/>
        <v>-10</v>
      </c>
      <c r="H24" s="379">
        <v>150</v>
      </c>
      <c r="I24" s="379"/>
      <c r="J24" s="379"/>
      <c r="K24" s="379">
        <f t="shared" si="1"/>
        <v>150</v>
      </c>
      <c r="L24" s="379">
        <f t="shared" si="2"/>
        <v>160</v>
      </c>
    </row>
    <row r="25" spans="1:12" ht="15.75">
      <c r="A25" s="376">
        <v>17</v>
      </c>
      <c r="B25" s="377" t="s">
        <v>1266</v>
      </c>
      <c r="C25" s="378"/>
      <c r="D25" s="379">
        <v>37500</v>
      </c>
      <c r="E25" s="379">
        <v>37500</v>
      </c>
      <c r="F25" s="379"/>
      <c r="G25" s="379">
        <f t="shared" si="0"/>
        <v>37500</v>
      </c>
      <c r="H25" s="379">
        <f>30210</f>
        <v>30210</v>
      </c>
      <c r="I25" s="379">
        <v>30210</v>
      </c>
      <c r="J25" s="379">
        <v>0</v>
      </c>
      <c r="K25" s="379">
        <f t="shared" si="1"/>
        <v>30210</v>
      </c>
      <c r="L25" s="379">
        <f t="shared" si="2"/>
        <v>30210</v>
      </c>
    </row>
    <row r="26" spans="1:12" ht="15.75">
      <c r="A26" s="376">
        <v>18</v>
      </c>
      <c r="B26" s="377" t="s">
        <v>1267</v>
      </c>
      <c r="C26" s="378">
        <v>5403</v>
      </c>
      <c r="D26" s="379">
        <v>33599</v>
      </c>
      <c r="E26" s="379">
        <v>32417</v>
      </c>
      <c r="F26" s="379">
        <v>28231</v>
      </c>
      <c r="G26" s="379">
        <f t="shared" si="0"/>
        <v>5368</v>
      </c>
      <c r="H26" s="379">
        <v>23599</v>
      </c>
      <c r="I26" s="379">
        <v>22417</v>
      </c>
      <c r="J26" s="379">
        <v>28170</v>
      </c>
      <c r="K26" s="379">
        <f t="shared" si="1"/>
        <v>-4571</v>
      </c>
      <c r="L26" s="379">
        <f t="shared" si="2"/>
        <v>832</v>
      </c>
    </row>
    <row r="27" spans="1:12" ht="31.5">
      <c r="A27" s="376">
        <v>19</v>
      </c>
      <c r="B27" s="377" t="s">
        <v>1268</v>
      </c>
      <c r="C27" s="378">
        <v>24967</v>
      </c>
      <c r="D27" s="379">
        <v>11519</v>
      </c>
      <c r="E27" s="379"/>
      <c r="F27" s="379">
        <v>36486</v>
      </c>
      <c r="G27" s="379">
        <f t="shared" si="0"/>
        <v>-24967</v>
      </c>
      <c r="H27" s="379">
        <v>9866</v>
      </c>
      <c r="I27" s="379"/>
      <c r="J27" s="379">
        <v>10919</v>
      </c>
      <c r="K27" s="379">
        <f t="shared" si="1"/>
        <v>-1053</v>
      </c>
      <c r="L27" s="379">
        <f t="shared" si="2"/>
        <v>23914</v>
      </c>
    </row>
    <row r="28" spans="1:12" ht="15.75">
      <c r="A28" s="376"/>
      <c r="B28" s="381" t="s">
        <v>1150</v>
      </c>
      <c r="C28" s="382">
        <f>SUM(C9:C27)</f>
        <v>65630.231192000007</v>
      </c>
      <c r="D28" s="382">
        <f t="shared" ref="D28:L28" si="3">SUM(D9:D27)</f>
        <v>136191.36075300002</v>
      </c>
      <c r="E28" s="382">
        <f t="shared" si="3"/>
        <v>80917</v>
      </c>
      <c r="F28" s="382">
        <f t="shared" si="3"/>
        <v>117902.44042100001</v>
      </c>
      <c r="G28" s="382">
        <f t="shared" si="3"/>
        <v>18288.920332000002</v>
      </c>
      <c r="H28" s="382">
        <f t="shared" si="3"/>
        <v>123416.75573400001</v>
      </c>
      <c r="I28" s="382">
        <f t="shared" si="3"/>
        <v>62627</v>
      </c>
      <c r="J28" s="382">
        <f t="shared" si="3"/>
        <v>80824.12724999999</v>
      </c>
      <c r="K28" s="382">
        <f t="shared" si="3"/>
        <v>42591.828483999998</v>
      </c>
      <c r="L28" s="382">
        <f t="shared" si="3"/>
        <v>108222.059676</v>
      </c>
    </row>
  </sheetData>
  <mergeCells count="14">
    <mergeCell ref="A2:L2"/>
    <mergeCell ref="A3:L3"/>
    <mergeCell ref="J6:J7"/>
    <mergeCell ref="K6:K7"/>
    <mergeCell ref="A5:A7"/>
    <mergeCell ref="B5:B7"/>
    <mergeCell ref="C5:C7"/>
    <mergeCell ref="D5:G5"/>
    <mergeCell ref="H5:K5"/>
    <mergeCell ref="L5:L7"/>
    <mergeCell ref="D6:E6"/>
    <mergeCell ref="F6:F7"/>
    <mergeCell ref="G6:G7"/>
    <mergeCell ref="H6:I6"/>
  </mergeCells>
  <pageMargins left="0.28000000000000003" right="0.2" top="0.2" bottom="0.22" header="0.2"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08"/>
  <sheetViews>
    <sheetView workbookViewId="0">
      <selection activeCell="B1" sqref="B1"/>
    </sheetView>
  </sheetViews>
  <sheetFormatPr defaultRowHeight="15"/>
  <cols>
    <col min="1" max="1" width="6.375" style="329" customWidth="1"/>
    <col min="2" max="2" width="51.75" style="329" customWidth="1"/>
    <col min="3" max="4" width="9.875" style="329" customWidth="1"/>
    <col min="5" max="16384" width="9" style="329"/>
  </cols>
  <sheetData>
    <row r="1" spans="1:6">
      <c r="E1" s="374" t="s">
        <v>201</v>
      </c>
    </row>
    <row r="2" spans="1:6">
      <c r="A2" s="1223" t="s">
        <v>241</v>
      </c>
      <c r="B2" s="1223"/>
      <c r="C2" s="1223"/>
      <c r="D2" s="1223"/>
      <c r="E2" s="1223"/>
    </row>
    <row r="3" spans="1:6">
      <c r="A3" s="1223" t="s">
        <v>202</v>
      </c>
      <c r="B3" s="1223"/>
      <c r="C3" s="1223"/>
      <c r="D3" s="1223"/>
      <c r="E3" s="1223"/>
    </row>
    <row r="4" spans="1:6">
      <c r="A4" s="1224" t="s">
        <v>1249</v>
      </c>
      <c r="B4" s="1224"/>
      <c r="C4" s="1224"/>
      <c r="D4" s="1224"/>
      <c r="E4" s="1224"/>
    </row>
    <row r="5" spans="1:6" ht="15.75">
      <c r="A5" s="330"/>
      <c r="B5" s="330"/>
      <c r="C5" s="330"/>
      <c r="E5" s="349" t="s">
        <v>2</v>
      </c>
      <c r="F5" s="330"/>
    </row>
    <row r="6" spans="1:6" ht="31.5">
      <c r="A6" s="373" t="s">
        <v>3</v>
      </c>
      <c r="B6" s="373" t="s">
        <v>51</v>
      </c>
      <c r="C6" s="373" t="s">
        <v>239</v>
      </c>
      <c r="D6" s="373" t="s">
        <v>240</v>
      </c>
      <c r="E6" s="373" t="s">
        <v>52</v>
      </c>
      <c r="F6" s="330"/>
    </row>
    <row r="7" spans="1:6" s="331" customFormat="1" ht="15.75">
      <c r="A7" s="360" t="s">
        <v>9</v>
      </c>
      <c r="B7" s="360" t="s">
        <v>10</v>
      </c>
      <c r="C7" s="360">
        <v>1</v>
      </c>
      <c r="D7" s="360">
        <v>2</v>
      </c>
      <c r="E7" s="360" t="s">
        <v>122</v>
      </c>
      <c r="F7" s="413">
        <f>582413-F8</f>
        <v>519.93999999994412</v>
      </c>
    </row>
    <row r="8" spans="1:6" ht="15.75">
      <c r="A8" s="353"/>
      <c r="B8" s="350" t="s">
        <v>154</v>
      </c>
      <c r="C8" s="384">
        <f>C9+C51+C55+C80+C82+C88+C90+C92+C106</f>
        <v>582413.06000000006</v>
      </c>
      <c r="D8" s="384">
        <f>D9+D51+D55+D80+D82+D88+D90+D92+D106</f>
        <v>584431.49474900006</v>
      </c>
      <c r="E8" s="385">
        <f>D8/C8</f>
        <v>1.0034656412907361</v>
      </c>
      <c r="F8" s="358">
        <f>C9+C51+C55+C82+C88+C90+C92+C106</f>
        <v>581893.06000000006</v>
      </c>
    </row>
    <row r="9" spans="1:6" s="348" customFormat="1" ht="27" customHeight="1">
      <c r="A9" s="373" t="s">
        <v>14</v>
      </c>
      <c r="B9" s="350" t="s">
        <v>203</v>
      </c>
      <c r="C9" s="351">
        <f>C10+C44</f>
        <v>23098.66</v>
      </c>
      <c r="D9" s="351">
        <f>D10+D44</f>
        <v>22675.408748999998</v>
      </c>
      <c r="E9" s="352">
        <f>D9/C9</f>
        <v>0.98167637209258019</v>
      </c>
      <c r="F9" s="354"/>
    </row>
    <row r="10" spans="1:6" s="348" customFormat="1" ht="20.25" customHeight="1">
      <c r="A10" s="373" t="s">
        <v>16</v>
      </c>
      <c r="B10" s="410" t="s">
        <v>204</v>
      </c>
      <c r="C10" s="384">
        <f>SUM(C11:C43)</f>
        <v>16823.66</v>
      </c>
      <c r="D10" s="384">
        <f>SUM(D11:D43)</f>
        <v>16486</v>
      </c>
      <c r="E10" s="385">
        <f>D10/C10</f>
        <v>0.97992945649163143</v>
      </c>
      <c r="F10" s="354"/>
    </row>
    <row r="11" spans="1:6" ht="20.25" customHeight="1">
      <c r="A11" s="386"/>
      <c r="B11" s="387" t="s">
        <v>1272</v>
      </c>
      <c r="C11" s="388">
        <v>453.6</v>
      </c>
      <c r="D11" s="388">
        <v>467.26772001533544</v>
      </c>
      <c r="E11" s="389">
        <f>D11/C11</f>
        <v>1.0301316578821327</v>
      </c>
      <c r="F11" s="330"/>
    </row>
    <row r="12" spans="1:6" ht="20.25" customHeight="1">
      <c r="A12" s="386"/>
      <c r="B12" s="387" t="s">
        <v>1273</v>
      </c>
      <c r="C12" s="388">
        <v>72.16</v>
      </c>
      <c r="D12" s="388">
        <v>0</v>
      </c>
      <c r="E12" s="389">
        <f t="shared" ref="E12:E41" si="0">D12/C12</f>
        <v>0</v>
      </c>
      <c r="F12" s="330"/>
    </row>
    <row r="13" spans="1:6" ht="20.25" customHeight="1">
      <c r="A13" s="386"/>
      <c r="B13" s="387" t="s">
        <v>1274</v>
      </c>
      <c r="C13" s="388">
        <v>240.59000000000003</v>
      </c>
      <c r="D13" s="388">
        <v>290.67933767953781</v>
      </c>
      <c r="E13" s="389">
        <f t="shared" si="0"/>
        <v>1.2081937639949198</v>
      </c>
      <c r="F13" s="330"/>
    </row>
    <row r="14" spans="1:6" ht="20.25" customHeight="1">
      <c r="A14" s="386"/>
      <c r="B14" s="387" t="s">
        <v>1275</v>
      </c>
      <c r="C14" s="388">
        <v>900</v>
      </c>
      <c r="D14" s="388">
        <v>819.46719272349992</v>
      </c>
      <c r="E14" s="389">
        <f t="shared" si="0"/>
        <v>0.91051910302611105</v>
      </c>
      <c r="F14" s="330"/>
    </row>
    <row r="15" spans="1:6" ht="20.25" customHeight="1">
      <c r="A15" s="386"/>
      <c r="B15" s="387" t="s">
        <v>1276</v>
      </c>
      <c r="C15" s="388">
        <v>455.70000000000005</v>
      </c>
      <c r="D15" s="388">
        <v>390.16775807412489</v>
      </c>
      <c r="E15" s="389">
        <f t="shared" si="0"/>
        <v>0.85619433415432267</v>
      </c>
      <c r="F15" s="330"/>
    </row>
    <row r="16" spans="1:6" ht="20.25" customHeight="1">
      <c r="A16" s="386"/>
      <c r="B16" s="387" t="s">
        <v>1277</v>
      </c>
      <c r="C16" s="388">
        <v>801</v>
      </c>
      <c r="D16" s="388">
        <v>668.63715280288466</v>
      </c>
      <c r="E16" s="389">
        <f t="shared" si="0"/>
        <v>0.83475299975391348</v>
      </c>
      <c r="F16" s="330"/>
    </row>
    <row r="17" spans="1:6" ht="20.25" customHeight="1">
      <c r="A17" s="386"/>
      <c r="B17" s="387" t="s">
        <v>1278</v>
      </c>
      <c r="C17" s="388">
        <v>700</v>
      </c>
      <c r="D17" s="388">
        <v>698.33520344564715</v>
      </c>
      <c r="E17" s="389">
        <f t="shared" si="0"/>
        <v>0.99762171920806741</v>
      </c>
      <c r="F17" s="330"/>
    </row>
    <row r="18" spans="1:6" ht="20.25" customHeight="1">
      <c r="A18" s="386"/>
      <c r="B18" s="387" t="s">
        <v>1279</v>
      </c>
      <c r="C18" s="388">
        <v>240.10000000000002</v>
      </c>
      <c r="D18" s="388">
        <v>210.41421079869991</v>
      </c>
      <c r="E18" s="389">
        <f t="shared" si="0"/>
        <v>0.87636072802457265</v>
      </c>
      <c r="F18" s="330"/>
    </row>
    <row r="19" spans="1:6" ht="20.25" customHeight="1">
      <c r="A19" s="386"/>
      <c r="B19" s="387" t="s">
        <v>1280</v>
      </c>
      <c r="C19" s="388">
        <v>392.98</v>
      </c>
      <c r="D19" s="388">
        <v>150.42119298026881</v>
      </c>
      <c r="E19" s="389">
        <f t="shared" si="0"/>
        <v>0.38277060659643952</v>
      </c>
      <c r="F19" s="330"/>
    </row>
    <row r="20" spans="1:6" ht="20.25" customHeight="1">
      <c r="A20" s="386"/>
      <c r="B20" s="387" t="s">
        <v>1281</v>
      </c>
      <c r="C20" s="388">
        <v>159.72</v>
      </c>
      <c r="D20" s="388">
        <v>35.726326372836027</v>
      </c>
      <c r="E20" s="389">
        <f t="shared" si="0"/>
        <v>0.22368098154793406</v>
      </c>
      <c r="F20" s="330"/>
    </row>
    <row r="21" spans="1:6" ht="20.25" customHeight="1">
      <c r="A21" s="386"/>
      <c r="B21" s="387" t="s">
        <v>1282</v>
      </c>
      <c r="C21" s="388">
        <v>1414</v>
      </c>
      <c r="D21" s="388">
        <v>1201.1783882683508</v>
      </c>
      <c r="E21" s="389">
        <f t="shared" si="0"/>
        <v>0.84948966638497225</v>
      </c>
      <c r="F21" s="330"/>
    </row>
    <row r="22" spans="1:6" ht="20.25" customHeight="1">
      <c r="A22" s="386"/>
      <c r="B22" s="387" t="s">
        <v>1283</v>
      </c>
      <c r="C22" s="388">
        <v>1321</v>
      </c>
      <c r="D22" s="388">
        <v>773.81425967372002</v>
      </c>
      <c r="E22" s="389">
        <f t="shared" si="0"/>
        <v>0.58577915191046181</v>
      </c>
      <c r="F22" s="330"/>
    </row>
    <row r="23" spans="1:6" ht="20.25" customHeight="1">
      <c r="A23" s="386"/>
      <c r="B23" s="387" t="s">
        <v>1284</v>
      </c>
      <c r="C23" s="388">
        <v>1176</v>
      </c>
      <c r="D23" s="388">
        <v>1069.4647820785315</v>
      </c>
      <c r="E23" s="389">
        <f t="shared" si="0"/>
        <v>0.90940882829807101</v>
      </c>
      <c r="F23" s="330"/>
    </row>
    <row r="24" spans="1:6" ht="20.25" customHeight="1">
      <c r="A24" s="386"/>
      <c r="B24" s="387" t="s">
        <v>1285</v>
      </c>
      <c r="C24" s="388">
        <v>236.94</v>
      </c>
      <c r="D24" s="388">
        <v>208.93162342393481</v>
      </c>
      <c r="E24" s="389">
        <f t="shared" si="0"/>
        <v>0.88179126962072596</v>
      </c>
      <c r="F24" s="330"/>
    </row>
    <row r="25" spans="1:6" ht="20.25" customHeight="1">
      <c r="A25" s="386"/>
      <c r="B25" s="387" t="s">
        <v>1286</v>
      </c>
      <c r="C25" s="388">
        <v>59.400000000000006</v>
      </c>
      <c r="D25" s="388">
        <v>21.332943725937326</v>
      </c>
      <c r="E25" s="389">
        <f t="shared" si="0"/>
        <v>0.35914046676662165</v>
      </c>
      <c r="F25" s="330"/>
    </row>
    <row r="26" spans="1:6" ht="20.25" customHeight="1">
      <c r="A26" s="386"/>
      <c r="B26" s="387" t="s">
        <v>1287</v>
      </c>
      <c r="C26" s="388">
        <v>153.56</v>
      </c>
      <c r="D26" s="388">
        <v>124.96431361025769</v>
      </c>
      <c r="E26" s="389">
        <f t="shared" si="0"/>
        <v>0.81378167237729671</v>
      </c>
      <c r="F26" s="330"/>
    </row>
    <row r="27" spans="1:6" ht="20.25" customHeight="1">
      <c r="A27" s="386"/>
      <c r="B27" s="387" t="s">
        <v>1288</v>
      </c>
      <c r="C27" s="388">
        <v>1320</v>
      </c>
      <c r="D27" s="388">
        <v>956.42599187283997</v>
      </c>
      <c r="E27" s="389">
        <f t="shared" si="0"/>
        <v>0.72456514535821215</v>
      </c>
      <c r="F27" s="330"/>
    </row>
    <row r="28" spans="1:6" ht="20.25" customHeight="1">
      <c r="A28" s="386"/>
      <c r="B28" s="387" t="s">
        <v>1289</v>
      </c>
      <c r="C28" s="388">
        <v>81.400000000000006</v>
      </c>
      <c r="D28" s="388">
        <v>64.519002706734796</v>
      </c>
      <c r="E28" s="389">
        <f t="shared" si="0"/>
        <v>0.79261674086897782</v>
      </c>
      <c r="F28" s="330"/>
    </row>
    <row r="29" spans="1:6" ht="20.25" customHeight="1">
      <c r="A29" s="386"/>
      <c r="B29" s="387" t="s">
        <v>1290</v>
      </c>
      <c r="C29" s="388">
        <v>485.1</v>
      </c>
      <c r="D29" s="388">
        <v>408.09328273361268</v>
      </c>
      <c r="E29" s="389">
        <f t="shared" si="0"/>
        <v>0.84125599409114138</v>
      </c>
      <c r="F29" s="330"/>
    </row>
    <row r="30" spans="1:6" ht="20.25" customHeight="1">
      <c r="A30" s="386"/>
      <c r="B30" s="387" t="s">
        <v>1291</v>
      </c>
      <c r="C30" s="388">
        <v>142.10000000000002</v>
      </c>
      <c r="D30" s="388">
        <v>164.06288836094001</v>
      </c>
      <c r="E30" s="389">
        <f t="shared" si="0"/>
        <v>1.1545593832578465</v>
      </c>
      <c r="F30" s="330"/>
    </row>
    <row r="31" spans="1:6" ht="20.25" customHeight="1">
      <c r="A31" s="386"/>
      <c r="B31" s="387" t="s">
        <v>1292</v>
      </c>
      <c r="C31" s="388">
        <v>498</v>
      </c>
      <c r="D31" s="388">
        <v>208.22623930516826</v>
      </c>
      <c r="E31" s="389">
        <f t="shared" si="0"/>
        <v>0.41812497852443425</v>
      </c>
      <c r="F31" s="330"/>
    </row>
    <row r="32" spans="1:6" ht="20.25" customHeight="1">
      <c r="A32" s="386"/>
      <c r="B32" s="387" t="s">
        <v>1293</v>
      </c>
      <c r="C32" s="388">
        <v>850</v>
      </c>
      <c r="D32" s="388">
        <v>735.33338861363347</v>
      </c>
      <c r="E32" s="389">
        <f t="shared" si="0"/>
        <v>0.86509810425133349</v>
      </c>
      <c r="F32" s="330"/>
    </row>
    <row r="33" spans="1:6" ht="20.25" customHeight="1">
      <c r="A33" s="386"/>
      <c r="B33" s="387" t="s">
        <v>1294</v>
      </c>
      <c r="C33" s="388">
        <v>260.19</v>
      </c>
      <c r="D33" s="388">
        <v>134.75201084481887</v>
      </c>
      <c r="E33" s="389">
        <f t="shared" si="0"/>
        <v>0.51789850049893871</v>
      </c>
      <c r="F33" s="330"/>
    </row>
    <row r="34" spans="1:6" ht="20.25" customHeight="1">
      <c r="A34" s="386"/>
      <c r="B34" s="387" t="s">
        <v>1295</v>
      </c>
      <c r="C34" s="388">
        <v>184.8</v>
      </c>
      <c r="D34" s="388">
        <v>12.434277759532943</v>
      </c>
      <c r="E34" s="389">
        <f t="shared" si="0"/>
        <v>6.7285052811325449E-2</v>
      </c>
      <c r="F34" s="330"/>
    </row>
    <row r="35" spans="1:6" ht="20.25" customHeight="1">
      <c r="A35" s="386"/>
      <c r="B35" s="387" t="s">
        <v>1296</v>
      </c>
      <c r="C35" s="388">
        <v>60.72</v>
      </c>
      <c r="D35" s="388">
        <v>20.163502567103837</v>
      </c>
      <c r="E35" s="389">
        <f t="shared" si="0"/>
        <v>0.33207349418813964</v>
      </c>
      <c r="F35" s="330"/>
    </row>
    <row r="36" spans="1:6" ht="20.25" customHeight="1">
      <c r="A36" s="386"/>
      <c r="B36" s="387" t="s">
        <v>1297</v>
      </c>
      <c r="C36" s="388">
        <v>297.43</v>
      </c>
      <c r="D36" s="388">
        <v>186.03028372442716</v>
      </c>
      <c r="E36" s="389">
        <f t="shared" si="0"/>
        <v>0.6254590448993953</v>
      </c>
      <c r="F36" s="330"/>
    </row>
    <row r="37" spans="1:6" ht="20.25" customHeight="1">
      <c r="A37" s="386"/>
      <c r="B37" s="387" t="s">
        <v>1298</v>
      </c>
      <c r="C37" s="388">
        <v>574.77</v>
      </c>
      <c r="D37" s="388">
        <v>317.99622433478811</v>
      </c>
      <c r="E37" s="389">
        <f t="shared" si="0"/>
        <v>0.55325821517265705</v>
      </c>
      <c r="F37" s="330"/>
    </row>
    <row r="38" spans="1:6" ht="20.25" customHeight="1">
      <c r="A38" s="386"/>
      <c r="B38" s="387" t="s">
        <v>1299</v>
      </c>
      <c r="C38" s="388">
        <v>1316</v>
      </c>
      <c r="D38" s="388">
        <v>754.92395475234946</v>
      </c>
      <c r="E38" s="389">
        <f t="shared" si="0"/>
        <v>0.57365042154433854</v>
      </c>
      <c r="F38" s="330"/>
    </row>
    <row r="39" spans="1:6" ht="20.25" customHeight="1">
      <c r="A39" s="386"/>
      <c r="B39" s="387" t="s">
        <v>1300</v>
      </c>
      <c r="C39" s="388">
        <v>519.4</v>
      </c>
      <c r="D39" s="388">
        <v>363.85899930816765</v>
      </c>
      <c r="E39" s="389">
        <f t="shared" si="0"/>
        <v>0.70053715692754659</v>
      </c>
      <c r="F39" s="330"/>
    </row>
    <row r="40" spans="1:6" ht="20.25" customHeight="1">
      <c r="A40" s="386"/>
      <c r="B40" s="387" t="s">
        <v>1301</v>
      </c>
      <c r="C40" s="388">
        <v>1277</v>
      </c>
      <c r="D40" s="388">
        <v>1030.7445138943388</v>
      </c>
      <c r="E40" s="389">
        <f t="shared" si="0"/>
        <v>0.80716093492117369</v>
      </c>
      <c r="F40" s="330"/>
    </row>
    <row r="41" spans="1:6" ht="20.25" customHeight="1">
      <c r="A41" s="386"/>
      <c r="B41" s="387" t="s">
        <v>1302</v>
      </c>
      <c r="C41" s="388">
        <v>180</v>
      </c>
      <c r="D41" s="388">
        <v>196.83763537647908</v>
      </c>
      <c r="E41" s="389">
        <f t="shared" si="0"/>
        <v>1.0935424187582172</v>
      </c>
      <c r="F41" s="330"/>
    </row>
    <row r="42" spans="1:6" ht="20.25" customHeight="1">
      <c r="A42" s="386"/>
      <c r="B42" s="387" t="s">
        <v>1303</v>
      </c>
      <c r="C42" s="388">
        <v>0</v>
      </c>
      <c r="D42" s="388">
        <v>60.677811814177794</v>
      </c>
      <c r="E42" s="389"/>
      <c r="F42" s="330"/>
    </row>
    <row r="43" spans="1:6" ht="20.25" customHeight="1">
      <c r="A43" s="386"/>
      <c r="B43" s="387" t="s">
        <v>1304</v>
      </c>
      <c r="C43" s="388">
        <v>0</v>
      </c>
      <c r="D43" s="388">
        <v>3740.1175863573226</v>
      </c>
      <c r="E43" s="389"/>
      <c r="F43" s="330"/>
    </row>
    <row r="44" spans="1:6" s="348" customFormat="1" ht="20.25" customHeight="1">
      <c r="A44" s="373" t="s">
        <v>16</v>
      </c>
      <c r="B44" s="410" t="s">
        <v>205</v>
      </c>
      <c r="C44" s="384">
        <f>SUM(C45:C50)</f>
        <v>6275</v>
      </c>
      <c r="D44" s="384">
        <f>SUM(D45:D50)</f>
        <v>6189.4087489999993</v>
      </c>
      <c r="E44" s="385">
        <f>D44/C44</f>
        <v>0.98635995999999992</v>
      </c>
      <c r="F44" s="354"/>
    </row>
    <row r="45" spans="1:6" ht="20.25" customHeight="1">
      <c r="A45" s="390"/>
      <c r="B45" s="387" t="s">
        <v>1305</v>
      </c>
      <c r="C45" s="388">
        <v>1945</v>
      </c>
      <c r="D45" s="388">
        <v>2115.7829689999999</v>
      </c>
      <c r="E45" s="389">
        <f t="shared" ref="E45:E51" si="1">D45/C45</f>
        <v>1.0878061537275063</v>
      </c>
      <c r="F45" s="330"/>
    </row>
    <row r="46" spans="1:6" ht="20.25" customHeight="1">
      <c r="A46" s="390"/>
      <c r="B46" s="387" t="s">
        <v>1306</v>
      </c>
      <c r="C46" s="388">
        <v>1194</v>
      </c>
      <c r="D46" s="388">
        <v>764.77377999999999</v>
      </c>
      <c r="E46" s="389">
        <f t="shared" si="1"/>
        <v>0.64051405360134006</v>
      </c>
      <c r="F46" s="330"/>
    </row>
    <row r="47" spans="1:6" ht="20.25" customHeight="1">
      <c r="A47" s="390"/>
      <c r="B47" s="387" t="s">
        <v>1307</v>
      </c>
      <c r="C47" s="388">
        <v>400</v>
      </c>
      <c r="D47" s="388">
        <v>436</v>
      </c>
      <c r="E47" s="389">
        <f t="shared" si="1"/>
        <v>1.0900000000000001</v>
      </c>
      <c r="F47" s="330"/>
    </row>
    <row r="48" spans="1:6" ht="20.25" customHeight="1">
      <c r="A48" s="390"/>
      <c r="B48" s="387" t="s">
        <v>1308</v>
      </c>
      <c r="C48" s="388">
        <v>1908</v>
      </c>
      <c r="D48" s="388">
        <v>1900</v>
      </c>
      <c r="E48" s="389">
        <f t="shared" si="1"/>
        <v>0.99580712788259962</v>
      </c>
      <c r="F48" s="330"/>
    </row>
    <row r="49" spans="1:6" ht="20.25" customHeight="1">
      <c r="A49" s="390"/>
      <c r="B49" s="387" t="s">
        <v>1309</v>
      </c>
      <c r="C49" s="388">
        <v>370</v>
      </c>
      <c r="D49" s="388">
        <v>511</v>
      </c>
      <c r="E49" s="389">
        <f t="shared" si="1"/>
        <v>1.3810810810810812</v>
      </c>
      <c r="F49" s="330"/>
    </row>
    <row r="50" spans="1:6" ht="20.25" customHeight="1">
      <c r="A50" s="390"/>
      <c r="B50" s="387" t="s">
        <v>1310</v>
      </c>
      <c r="C50" s="388">
        <v>458</v>
      </c>
      <c r="D50" s="388">
        <v>461.85199999999998</v>
      </c>
      <c r="E50" s="389">
        <f t="shared" si="1"/>
        <v>1.008410480349345</v>
      </c>
      <c r="F50" s="330"/>
    </row>
    <row r="51" spans="1:6" s="348" customFormat="1" ht="20.25" customHeight="1">
      <c r="A51" s="373" t="s">
        <v>19</v>
      </c>
      <c r="B51" s="350" t="s">
        <v>206</v>
      </c>
      <c r="C51" s="384">
        <v>2340</v>
      </c>
      <c r="D51" s="384">
        <v>2648</v>
      </c>
      <c r="E51" s="385">
        <f t="shared" si="1"/>
        <v>1.1316239316239316</v>
      </c>
      <c r="F51" s="354"/>
    </row>
    <row r="52" spans="1:6" ht="20.25" customHeight="1">
      <c r="A52" s="391"/>
      <c r="B52" s="387" t="s">
        <v>1311</v>
      </c>
      <c r="C52" s="388">
        <v>360</v>
      </c>
      <c r="D52" s="388">
        <v>431</v>
      </c>
      <c r="E52" s="389">
        <f>D52/C52</f>
        <v>1.1972222222222222</v>
      </c>
      <c r="F52" s="330"/>
    </row>
    <row r="53" spans="1:6" ht="20.25" customHeight="1">
      <c r="A53" s="391"/>
      <c r="B53" s="387" t="s">
        <v>1312</v>
      </c>
      <c r="C53" s="388">
        <v>180</v>
      </c>
      <c r="D53" s="388">
        <v>253</v>
      </c>
      <c r="E53" s="389">
        <f>D53/C53</f>
        <v>1.4055555555555554</v>
      </c>
      <c r="F53" s="330"/>
    </row>
    <row r="54" spans="1:6" ht="20.25" customHeight="1">
      <c r="A54" s="391"/>
      <c r="B54" s="387" t="s">
        <v>1313</v>
      </c>
      <c r="C54" s="388">
        <v>1800</v>
      </c>
      <c r="D54" s="388">
        <v>1964</v>
      </c>
      <c r="E54" s="389">
        <f>D54/C54</f>
        <v>1.0911111111111111</v>
      </c>
      <c r="F54" s="330"/>
    </row>
    <row r="55" spans="1:6" s="348" customFormat="1" ht="20.25" customHeight="1">
      <c r="A55" s="373" t="s">
        <v>23</v>
      </c>
      <c r="B55" s="350" t="s">
        <v>207</v>
      </c>
      <c r="C55" s="392">
        <v>478390.4</v>
      </c>
      <c r="D55" s="392">
        <v>473561</v>
      </c>
      <c r="E55" s="385">
        <f>D55/C55</f>
        <v>0.98990489775714563</v>
      </c>
      <c r="F55" s="354"/>
    </row>
    <row r="56" spans="1:6" s="348" customFormat="1" ht="20.25" customHeight="1">
      <c r="A56" s="393"/>
      <c r="B56" s="394" t="s">
        <v>1314</v>
      </c>
      <c r="C56" s="395">
        <v>469710.4</v>
      </c>
      <c r="D56" s="395">
        <v>462614</v>
      </c>
      <c r="E56" s="385">
        <f t="shared" ref="E56:E107" si="2">D56/C56</f>
        <v>0.98489196747612995</v>
      </c>
      <c r="F56" s="354"/>
    </row>
    <row r="57" spans="1:6" ht="20.25" customHeight="1">
      <c r="A57" s="396">
        <v>1</v>
      </c>
      <c r="B57" s="397" t="s">
        <v>1315</v>
      </c>
      <c r="C57" s="398">
        <v>226320</v>
      </c>
      <c r="D57" s="398">
        <v>230452</v>
      </c>
      <c r="E57" s="389">
        <f t="shared" si="2"/>
        <v>1.0182573347472605</v>
      </c>
      <c r="F57" s="330"/>
    </row>
    <row r="58" spans="1:6" ht="20.25" customHeight="1">
      <c r="A58" s="396">
        <v>2</v>
      </c>
      <c r="B58" s="397" t="s">
        <v>1316</v>
      </c>
      <c r="C58" s="398">
        <v>35670</v>
      </c>
      <c r="D58" s="398">
        <v>37986</v>
      </c>
      <c r="E58" s="389">
        <f t="shared" si="2"/>
        <v>1.064928511354079</v>
      </c>
      <c r="F58" s="330"/>
    </row>
    <row r="59" spans="1:6" ht="20.25" customHeight="1">
      <c r="A59" s="396">
        <v>3</v>
      </c>
      <c r="B59" s="397" t="s">
        <v>1317</v>
      </c>
      <c r="C59" s="398">
        <v>5160</v>
      </c>
      <c r="D59" s="398">
        <v>4603</v>
      </c>
      <c r="E59" s="389">
        <f t="shared" si="2"/>
        <v>0.89205426356589146</v>
      </c>
      <c r="F59" s="330"/>
    </row>
    <row r="60" spans="1:6" ht="20.25" customHeight="1">
      <c r="A60" s="396">
        <v>4</v>
      </c>
      <c r="B60" s="397" t="s">
        <v>1318</v>
      </c>
      <c r="C60" s="398">
        <v>4450</v>
      </c>
      <c r="D60" s="398">
        <v>3791</v>
      </c>
      <c r="E60" s="389">
        <f t="shared" si="2"/>
        <v>0.85191011235955061</v>
      </c>
      <c r="F60" s="330"/>
    </row>
    <row r="61" spans="1:6" ht="20.25" customHeight="1">
      <c r="A61" s="396">
        <v>5</v>
      </c>
      <c r="B61" s="397" t="s">
        <v>1319</v>
      </c>
      <c r="C61" s="398">
        <v>7600</v>
      </c>
      <c r="D61" s="398">
        <v>7554</v>
      </c>
      <c r="E61" s="389">
        <f t="shared" si="2"/>
        <v>0.99394736842105258</v>
      </c>
      <c r="F61" s="330"/>
    </row>
    <row r="62" spans="1:6" ht="20.25" customHeight="1">
      <c r="A62" s="396">
        <v>6</v>
      </c>
      <c r="B62" s="397" t="s">
        <v>1320</v>
      </c>
      <c r="C62" s="398">
        <v>12000</v>
      </c>
      <c r="D62" s="398">
        <v>10462</v>
      </c>
      <c r="E62" s="389">
        <f t="shared" si="2"/>
        <v>0.87183333333333335</v>
      </c>
      <c r="F62" s="330"/>
    </row>
    <row r="63" spans="1:6" ht="20.25" customHeight="1">
      <c r="A63" s="396">
        <v>7</v>
      </c>
      <c r="B63" s="397" t="s">
        <v>1321</v>
      </c>
      <c r="C63" s="398">
        <v>37210</v>
      </c>
      <c r="D63" s="398">
        <v>37235</v>
      </c>
      <c r="E63" s="389">
        <f t="shared" si="2"/>
        <v>1.0006718624025799</v>
      </c>
      <c r="F63" s="330"/>
    </row>
    <row r="64" spans="1:6" ht="20.25" customHeight="1">
      <c r="A64" s="396">
        <v>8</v>
      </c>
      <c r="B64" s="397" t="s">
        <v>1322</v>
      </c>
      <c r="C64" s="398">
        <v>18249</v>
      </c>
      <c r="D64" s="398">
        <v>18977</v>
      </c>
      <c r="E64" s="389">
        <f t="shared" si="2"/>
        <v>1.0398925968546222</v>
      </c>
      <c r="F64" s="330"/>
    </row>
    <row r="65" spans="1:6" ht="20.25" customHeight="1">
      <c r="A65" s="396">
        <v>9</v>
      </c>
      <c r="B65" s="397" t="s">
        <v>1323</v>
      </c>
      <c r="C65" s="398">
        <v>17900.400000000001</v>
      </c>
      <c r="D65" s="398">
        <v>18474</v>
      </c>
      <c r="E65" s="389">
        <f t="shared" si="2"/>
        <v>1.0320439766709122</v>
      </c>
      <c r="F65" s="330"/>
    </row>
    <row r="66" spans="1:6" ht="20.25" customHeight="1">
      <c r="A66" s="396">
        <v>10</v>
      </c>
      <c r="B66" s="397" t="s">
        <v>1324</v>
      </c>
      <c r="C66" s="398">
        <v>14922</v>
      </c>
      <c r="D66" s="398">
        <v>9567</v>
      </c>
      <c r="E66" s="389">
        <f t="shared" si="2"/>
        <v>0.64113389626055484</v>
      </c>
      <c r="F66" s="330"/>
    </row>
    <row r="67" spans="1:6" ht="20.25" customHeight="1">
      <c r="A67" s="396">
        <v>11</v>
      </c>
      <c r="B67" s="397" t="s">
        <v>1325</v>
      </c>
      <c r="C67" s="398">
        <v>18171</v>
      </c>
      <c r="D67" s="398">
        <v>15518</v>
      </c>
      <c r="E67" s="389">
        <f t="shared" si="2"/>
        <v>0.85399812888668758</v>
      </c>
      <c r="F67" s="330"/>
    </row>
    <row r="68" spans="1:6" ht="20.25" customHeight="1">
      <c r="A68" s="396">
        <v>12</v>
      </c>
      <c r="B68" s="397" t="s">
        <v>1326</v>
      </c>
      <c r="C68" s="398">
        <v>22832</v>
      </c>
      <c r="D68" s="398">
        <v>21006</v>
      </c>
      <c r="E68" s="389">
        <f t="shared" si="2"/>
        <v>0.92002452697967763</v>
      </c>
      <c r="F68" s="330"/>
    </row>
    <row r="69" spans="1:6" ht="20.25" customHeight="1">
      <c r="A69" s="396">
        <v>13</v>
      </c>
      <c r="B69" s="397" t="s">
        <v>1327</v>
      </c>
      <c r="C69" s="398">
        <v>24975</v>
      </c>
      <c r="D69" s="398">
        <v>24008</v>
      </c>
      <c r="E69" s="389">
        <f t="shared" si="2"/>
        <v>0.96128128128128132</v>
      </c>
      <c r="F69" s="330"/>
    </row>
    <row r="70" spans="1:6" ht="20.25" customHeight="1">
      <c r="A70" s="396">
        <v>14</v>
      </c>
      <c r="B70" s="397" t="s">
        <v>1328</v>
      </c>
      <c r="C70" s="398">
        <v>20616</v>
      </c>
      <c r="D70" s="398">
        <v>18771</v>
      </c>
      <c r="E70" s="389">
        <f t="shared" si="2"/>
        <v>0.91050640279394646</v>
      </c>
      <c r="F70" s="330"/>
    </row>
    <row r="71" spans="1:6" ht="20.25" customHeight="1">
      <c r="A71" s="396">
        <v>15</v>
      </c>
      <c r="B71" s="399" t="s">
        <v>1329</v>
      </c>
      <c r="C71" s="398">
        <v>3535</v>
      </c>
      <c r="D71" s="398">
        <v>4210</v>
      </c>
      <c r="E71" s="389">
        <f t="shared" si="2"/>
        <v>1.190947666195191</v>
      </c>
      <c r="F71" s="330"/>
    </row>
    <row r="72" spans="1:6" ht="20.25" customHeight="1">
      <c r="A72" s="396">
        <v>16</v>
      </c>
      <c r="B72" s="399" t="s">
        <v>1330</v>
      </c>
      <c r="C72" s="398">
        <v>100</v>
      </c>
      <c r="D72" s="398"/>
      <c r="E72" s="389">
        <f t="shared" si="2"/>
        <v>0</v>
      </c>
      <c r="F72" s="330"/>
    </row>
    <row r="73" spans="1:6" ht="20.25" customHeight="1">
      <c r="A73" s="396">
        <v>17</v>
      </c>
      <c r="B73" s="397" t="s">
        <v>1331</v>
      </c>
      <c r="C73" s="398">
        <v>3820</v>
      </c>
      <c r="D73" s="398">
        <v>5588</v>
      </c>
      <c r="E73" s="389">
        <f t="shared" si="2"/>
        <v>1.46282722513089</v>
      </c>
      <c r="F73" s="330"/>
    </row>
    <row r="74" spans="1:6" ht="20.25" customHeight="1">
      <c r="A74" s="396">
        <v>18</v>
      </c>
      <c r="B74" s="397" t="s">
        <v>1332</v>
      </c>
      <c r="C74" s="398">
        <v>30</v>
      </c>
      <c r="D74" s="398">
        <v>20</v>
      </c>
      <c r="E74" s="389">
        <f t="shared" si="2"/>
        <v>0.66666666666666663</v>
      </c>
      <c r="F74" s="330"/>
    </row>
    <row r="75" spans="1:6" ht="20.25" customHeight="1">
      <c r="A75" s="396">
        <v>19</v>
      </c>
      <c r="B75" s="397" t="s">
        <v>1333</v>
      </c>
      <c r="C75" s="398">
        <v>60</v>
      </c>
      <c r="D75" s="398">
        <v>67</v>
      </c>
      <c r="E75" s="389">
        <f t="shared" si="2"/>
        <v>1.1166666666666667</v>
      </c>
      <c r="F75" s="330"/>
    </row>
    <row r="76" spans="1:6" ht="20.25" customHeight="1">
      <c r="A76" s="396">
        <v>20</v>
      </c>
      <c r="B76" s="397" t="s">
        <v>1334</v>
      </c>
      <c r="C76" s="398">
        <v>100</v>
      </c>
      <c r="D76" s="398">
        <v>117</v>
      </c>
      <c r="E76" s="389">
        <f t="shared" si="2"/>
        <v>1.17</v>
      </c>
      <c r="F76" s="330"/>
    </row>
    <row r="77" spans="1:6" ht="20.25" customHeight="1">
      <c r="A77" s="396">
        <v>21</v>
      </c>
      <c r="B77" s="397" t="s">
        <v>1335</v>
      </c>
      <c r="C77" s="398">
        <v>250</v>
      </c>
      <c r="D77" s="398">
        <v>1401</v>
      </c>
      <c r="E77" s="389">
        <f t="shared" si="2"/>
        <v>5.6040000000000001</v>
      </c>
      <c r="F77" s="330"/>
    </row>
    <row r="78" spans="1:6" ht="20.25" customHeight="1">
      <c r="A78" s="396">
        <v>22</v>
      </c>
      <c r="B78" s="397" t="s">
        <v>1336</v>
      </c>
      <c r="C78" s="398">
        <v>420</v>
      </c>
      <c r="D78" s="398">
        <v>153</v>
      </c>
      <c r="E78" s="389">
        <f t="shared" si="2"/>
        <v>0.36428571428571427</v>
      </c>
      <c r="F78" s="330"/>
    </row>
    <row r="79" spans="1:6" ht="20.25" customHeight="1">
      <c r="A79" s="396">
        <v>23</v>
      </c>
      <c r="B79" s="397" t="s">
        <v>1337</v>
      </c>
      <c r="C79" s="398">
        <v>4000</v>
      </c>
      <c r="D79" s="398">
        <v>3601</v>
      </c>
      <c r="E79" s="389">
        <f t="shared" si="2"/>
        <v>0.90024999999999999</v>
      </c>
      <c r="F79" s="330"/>
    </row>
    <row r="80" spans="1:6" s="348" customFormat="1" ht="20.25" customHeight="1">
      <c r="A80" s="386" t="s">
        <v>24</v>
      </c>
      <c r="B80" s="400" t="s">
        <v>1363</v>
      </c>
      <c r="C80" s="384">
        <v>520</v>
      </c>
      <c r="D80" s="384">
        <v>1367</v>
      </c>
      <c r="E80" s="385">
        <f t="shared" si="2"/>
        <v>2.6288461538461538</v>
      </c>
      <c r="F80" s="354"/>
    </row>
    <row r="81" spans="1:6" ht="20.25" customHeight="1">
      <c r="A81" s="401"/>
      <c r="B81" s="402" t="s">
        <v>1364</v>
      </c>
      <c r="C81" s="403">
        <v>520</v>
      </c>
      <c r="D81" s="403">
        <v>1367</v>
      </c>
      <c r="E81" s="389">
        <f t="shared" si="2"/>
        <v>2.6288461538461538</v>
      </c>
      <c r="F81" s="330"/>
    </row>
    <row r="82" spans="1:6" s="348" customFormat="1" ht="36.75" customHeight="1">
      <c r="A82" s="373" t="s">
        <v>26</v>
      </c>
      <c r="B82" s="404" t="s">
        <v>208</v>
      </c>
      <c r="C82" s="384">
        <v>2310</v>
      </c>
      <c r="D82" s="384">
        <v>2450</v>
      </c>
      <c r="E82" s="385">
        <f t="shared" si="2"/>
        <v>1.0606060606060606</v>
      </c>
      <c r="F82" s="354"/>
    </row>
    <row r="83" spans="1:6" ht="20.25" customHeight="1">
      <c r="A83" s="353"/>
      <c r="B83" s="402" t="s">
        <v>1338</v>
      </c>
      <c r="C83" s="388">
        <v>350</v>
      </c>
      <c r="D83" s="388">
        <v>339</v>
      </c>
      <c r="E83" s="389">
        <f t="shared" si="2"/>
        <v>0.96857142857142853</v>
      </c>
      <c r="F83" s="330"/>
    </row>
    <row r="84" spans="1:6" ht="20.25" customHeight="1">
      <c r="A84" s="353"/>
      <c r="B84" s="402" t="s">
        <v>1339</v>
      </c>
      <c r="C84" s="388">
        <v>650</v>
      </c>
      <c r="D84" s="388">
        <v>918</v>
      </c>
      <c r="E84" s="389">
        <f t="shared" si="2"/>
        <v>1.4123076923076923</v>
      </c>
      <c r="F84" s="330"/>
    </row>
    <row r="85" spans="1:6" ht="20.25" customHeight="1">
      <c r="A85" s="353"/>
      <c r="B85" s="402" t="s">
        <v>1340</v>
      </c>
      <c r="C85" s="388">
        <v>620</v>
      </c>
      <c r="D85" s="388">
        <v>567</v>
      </c>
      <c r="E85" s="389">
        <f t="shared" si="2"/>
        <v>0.9145161290322581</v>
      </c>
      <c r="F85" s="330"/>
    </row>
    <row r="86" spans="1:6" ht="20.25" customHeight="1">
      <c r="A86" s="353"/>
      <c r="B86" s="402" t="s">
        <v>1341</v>
      </c>
      <c r="C86" s="388">
        <v>550</v>
      </c>
      <c r="D86" s="388">
        <v>537</v>
      </c>
      <c r="E86" s="389">
        <f t="shared" si="2"/>
        <v>0.97636363636363632</v>
      </c>
      <c r="F86" s="330"/>
    </row>
    <row r="87" spans="1:6" ht="20.25" customHeight="1">
      <c r="A87" s="353"/>
      <c r="B87" s="402" t="s">
        <v>1342</v>
      </c>
      <c r="C87" s="388">
        <v>140</v>
      </c>
      <c r="D87" s="388">
        <v>89</v>
      </c>
      <c r="E87" s="389">
        <f t="shared" si="2"/>
        <v>0.63571428571428568</v>
      </c>
      <c r="F87" s="330"/>
    </row>
    <row r="88" spans="1:6" s="348" customFormat="1" ht="33.75" customHeight="1">
      <c r="A88" s="373" t="s">
        <v>128</v>
      </c>
      <c r="B88" s="404" t="s">
        <v>209</v>
      </c>
      <c r="C88" s="384">
        <v>13755</v>
      </c>
      <c r="D88" s="384">
        <v>12260</v>
      </c>
      <c r="E88" s="385">
        <f t="shared" si="2"/>
        <v>0.891312250090876</v>
      </c>
      <c r="F88" s="354"/>
    </row>
    <row r="89" spans="1:6" ht="20.25" customHeight="1">
      <c r="A89" s="353"/>
      <c r="B89" s="387" t="s">
        <v>1343</v>
      </c>
      <c r="C89" s="388">
        <v>13755</v>
      </c>
      <c r="D89" s="388">
        <v>12260</v>
      </c>
      <c r="E89" s="389">
        <f t="shared" si="2"/>
        <v>0.891312250090876</v>
      </c>
      <c r="F89" s="330"/>
    </row>
    <row r="90" spans="1:6" s="348" customFormat="1" ht="20.25" customHeight="1">
      <c r="A90" s="386" t="s">
        <v>156</v>
      </c>
      <c r="B90" s="404" t="s">
        <v>1344</v>
      </c>
      <c r="C90" s="384">
        <v>1226</v>
      </c>
      <c r="D90" s="384">
        <v>2745</v>
      </c>
      <c r="E90" s="385">
        <f t="shared" si="2"/>
        <v>2.2389885807504077</v>
      </c>
      <c r="F90" s="354"/>
    </row>
    <row r="91" spans="1:6" ht="15.75">
      <c r="A91" s="391"/>
      <c r="B91" s="387" t="s">
        <v>1345</v>
      </c>
      <c r="C91" s="388">
        <v>1226</v>
      </c>
      <c r="D91" s="388">
        <v>2745</v>
      </c>
      <c r="E91" s="389">
        <f t="shared" si="2"/>
        <v>2.2389885807504077</v>
      </c>
      <c r="F91" s="330"/>
    </row>
    <row r="92" spans="1:6" s="348" customFormat="1" ht="15.75">
      <c r="A92" s="386" t="s">
        <v>228</v>
      </c>
      <c r="B92" s="404" t="s">
        <v>1347</v>
      </c>
      <c r="C92" s="384">
        <f>SUM(C93:C105)</f>
        <v>56039</v>
      </c>
      <c r="D92" s="384">
        <f>SUM(D93:D105)</f>
        <v>60936.631999999998</v>
      </c>
      <c r="E92" s="385">
        <f t="shared" si="2"/>
        <v>1.0873968486232801</v>
      </c>
      <c r="F92" s="354"/>
    </row>
    <row r="93" spans="1:6" ht="15.75">
      <c r="A93" s="391"/>
      <c r="B93" s="402" t="s">
        <v>1348</v>
      </c>
      <c r="C93" s="388">
        <v>650</v>
      </c>
      <c r="D93" s="388">
        <v>926</v>
      </c>
      <c r="E93" s="389">
        <f t="shared" si="2"/>
        <v>1.4246153846153846</v>
      </c>
      <c r="F93" s="330"/>
    </row>
    <row r="94" spans="1:6" ht="15.75">
      <c r="A94" s="391"/>
      <c r="B94" s="402" t="s">
        <v>1349</v>
      </c>
      <c r="C94" s="388">
        <v>537</v>
      </c>
      <c r="D94" s="388">
        <v>883.97799999999995</v>
      </c>
      <c r="E94" s="389">
        <f t="shared" si="2"/>
        <v>1.646141527001862</v>
      </c>
      <c r="F94" s="330"/>
    </row>
    <row r="95" spans="1:6" ht="15.75">
      <c r="A95" s="391"/>
      <c r="B95" s="402" t="s">
        <v>1350</v>
      </c>
      <c r="C95" s="388">
        <v>2000</v>
      </c>
      <c r="D95" s="388">
        <v>4234</v>
      </c>
      <c r="E95" s="389">
        <f t="shared" si="2"/>
        <v>2.117</v>
      </c>
      <c r="F95" s="330"/>
    </row>
    <row r="96" spans="1:6" ht="15.75">
      <c r="A96" s="391"/>
      <c r="B96" s="402" t="s">
        <v>1351</v>
      </c>
      <c r="C96" s="388">
        <v>1100</v>
      </c>
      <c r="D96" s="388">
        <v>1565</v>
      </c>
      <c r="E96" s="389">
        <f t="shared" si="2"/>
        <v>1.4227272727272726</v>
      </c>
      <c r="F96" s="330"/>
    </row>
    <row r="97" spans="1:6" ht="31.5">
      <c r="A97" s="353"/>
      <c r="B97" s="355" t="s">
        <v>1352</v>
      </c>
      <c r="C97" s="388">
        <v>430</v>
      </c>
      <c r="D97" s="388">
        <v>427.654</v>
      </c>
      <c r="E97" s="389">
        <f t="shared" si="2"/>
        <v>0.99454418604651162</v>
      </c>
      <c r="F97" s="330"/>
    </row>
    <row r="98" spans="1:6" ht="15.75">
      <c r="A98" s="353"/>
      <c r="B98" s="355" t="s">
        <v>1353</v>
      </c>
      <c r="C98" s="388">
        <v>1950</v>
      </c>
      <c r="D98" s="388">
        <v>1928</v>
      </c>
      <c r="E98" s="389">
        <f t="shared" si="2"/>
        <v>0.98871794871794871</v>
      </c>
      <c r="F98" s="330"/>
    </row>
    <row r="99" spans="1:6" ht="31.5">
      <c r="A99" s="353"/>
      <c r="B99" s="355" t="s">
        <v>1354</v>
      </c>
      <c r="C99" s="388">
        <v>8500</v>
      </c>
      <c r="D99" s="388">
        <v>8425</v>
      </c>
      <c r="E99" s="389">
        <f t="shared" si="2"/>
        <v>0.99117647058823533</v>
      </c>
      <c r="F99" s="330"/>
    </row>
    <row r="100" spans="1:6" ht="31.5">
      <c r="A100" s="353"/>
      <c r="B100" s="355" t="s">
        <v>1355</v>
      </c>
      <c r="C100" s="388">
        <v>20000</v>
      </c>
      <c r="D100" s="388">
        <v>20017</v>
      </c>
      <c r="E100" s="389">
        <f t="shared" si="2"/>
        <v>1.00085</v>
      </c>
      <c r="F100" s="330"/>
    </row>
    <row r="101" spans="1:6" ht="15.75">
      <c r="A101" s="353"/>
      <c r="B101" s="355" t="s">
        <v>1356</v>
      </c>
      <c r="C101" s="388">
        <v>3200</v>
      </c>
      <c r="D101" s="388">
        <v>3171</v>
      </c>
      <c r="E101" s="389">
        <f t="shared" si="2"/>
        <v>0.99093750000000003</v>
      </c>
      <c r="F101" s="330"/>
    </row>
    <row r="102" spans="1:6" ht="15.75">
      <c r="A102" s="353"/>
      <c r="B102" s="355" t="s">
        <v>1357</v>
      </c>
      <c r="C102" s="388">
        <v>6</v>
      </c>
      <c r="D102" s="388">
        <v>6</v>
      </c>
      <c r="E102" s="389">
        <f t="shared" si="2"/>
        <v>1</v>
      </c>
      <c r="F102" s="330"/>
    </row>
    <row r="103" spans="1:6" ht="15.75">
      <c r="A103" s="353"/>
      <c r="B103" s="355" t="s">
        <v>1358</v>
      </c>
      <c r="C103" s="388">
        <v>15300</v>
      </c>
      <c r="D103" s="388">
        <v>15302</v>
      </c>
      <c r="E103" s="389">
        <f t="shared" si="2"/>
        <v>1.0001307189542483</v>
      </c>
      <c r="F103" s="330"/>
    </row>
    <row r="104" spans="1:6" ht="15.75">
      <c r="A104" s="353"/>
      <c r="B104" s="202" t="s">
        <v>1359</v>
      </c>
      <c r="C104" s="388">
        <v>666</v>
      </c>
      <c r="D104" s="405">
        <v>1225</v>
      </c>
      <c r="E104" s="389">
        <f t="shared" si="2"/>
        <v>1.8393393393393394</v>
      </c>
      <c r="F104" s="330"/>
    </row>
    <row r="105" spans="1:6" ht="15.75">
      <c r="A105" s="353"/>
      <c r="B105" s="406" t="s">
        <v>1360</v>
      </c>
      <c r="C105" s="388">
        <v>1700</v>
      </c>
      <c r="D105" s="405">
        <v>2826</v>
      </c>
      <c r="E105" s="389">
        <f t="shared" si="2"/>
        <v>1.6623529411764706</v>
      </c>
      <c r="F105" s="330"/>
    </row>
    <row r="106" spans="1:6" s="348" customFormat="1" ht="15.75">
      <c r="A106" s="386" t="s">
        <v>1346</v>
      </c>
      <c r="B106" s="407" t="s">
        <v>1361</v>
      </c>
      <c r="C106" s="384">
        <v>4734</v>
      </c>
      <c r="D106" s="384">
        <v>5788.4539999999997</v>
      </c>
      <c r="E106" s="385">
        <f t="shared" si="2"/>
        <v>1.2227405999155048</v>
      </c>
      <c r="F106" s="354"/>
    </row>
    <row r="107" spans="1:6" ht="15.75">
      <c r="A107" s="391"/>
      <c r="B107" s="408" t="s">
        <v>551</v>
      </c>
      <c r="C107" s="388">
        <v>2050</v>
      </c>
      <c r="D107" s="388">
        <v>2722.654</v>
      </c>
      <c r="E107" s="389">
        <f t="shared" si="2"/>
        <v>1.3281239024390243</v>
      </c>
      <c r="F107" s="330"/>
    </row>
    <row r="108" spans="1:6" ht="15.75">
      <c r="A108" s="391"/>
      <c r="B108" s="408" t="s">
        <v>1362</v>
      </c>
      <c r="C108" s="388">
        <v>2684</v>
      </c>
      <c r="D108" s="388">
        <v>3065.8</v>
      </c>
      <c r="E108" s="409">
        <v>1.1422503725782416</v>
      </c>
      <c r="F108" s="330"/>
    </row>
  </sheetData>
  <mergeCells count="3">
    <mergeCell ref="A2:E2"/>
    <mergeCell ref="A3:E3"/>
    <mergeCell ref="A4:E4"/>
  </mergeCells>
  <pageMargins left="0.47244094488188981" right="0.27559055118110237" top="0.62992125984251968" bottom="0.2362204724409449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99"/>
  <sheetViews>
    <sheetView zoomScale="70" zoomScaleNormal="70" workbookViewId="0">
      <pane xSplit="2" ySplit="7" topLeftCell="C8" activePane="bottomRight" state="frozen"/>
      <selection pane="topRight" activeCell="C1" sqref="C1"/>
      <selection pane="bottomLeft" activeCell="A9" sqref="A9"/>
      <selection pane="bottomRight" activeCell="H23" sqref="H23"/>
    </sheetView>
  </sheetViews>
  <sheetFormatPr defaultColWidth="9.125" defaultRowHeight="15.75"/>
  <cols>
    <col min="1" max="1" width="4.75" style="654" customWidth="1"/>
    <col min="2" max="2" width="29.375" style="654" customWidth="1"/>
    <col min="3" max="3" width="11.875" style="654" customWidth="1"/>
    <col min="4" max="4" width="11.625" style="654" customWidth="1"/>
    <col min="5" max="5" width="18" style="655" customWidth="1"/>
    <col min="6" max="6" width="19.75" style="656" customWidth="1"/>
    <col min="7" max="7" width="10.375" style="654" customWidth="1"/>
    <col min="8" max="8" width="10.625" style="654" customWidth="1"/>
    <col min="9" max="16384" width="9.125" style="654"/>
  </cols>
  <sheetData>
    <row r="1" spans="1:8" ht="24.75" customHeight="1">
      <c r="G1" s="1052" t="s">
        <v>56</v>
      </c>
      <c r="H1" s="1052"/>
    </row>
    <row r="2" spans="1:8" ht="25.5" customHeight="1">
      <c r="A2" s="1056" t="s">
        <v>2399</v>
      </c>
      <c r="B2" s="1056"/>
      <c r="C2" s="1056"/>
      <c r="D2" s="1056"/>
      <c r="E2" s="1056"/>
      <c r="F2" s="1056"/>
      <c r="G2" s="1056"/>
      <c r="H2" s="1056"/>
    </row>
    <row r="3" spans="1:8" ht="27" customHeight="1">
      <c r="A3" s="1055" t="s">
        <v>2397</v>
      </c>
      <c r="B3" s="1055"/>
      <c r="C3" s="1055"/>
      <c r="D3" s="1055"/>
      <c r="E3" s="1055"/>
      <c r="F3" s="1055"/>
      <c r="G3" s="1055"/>
      <c r="H3" s="1055"/>
    </row>
    <row r="4" spans="1:8" hidden="1">
      <c r="A4" s="1057" t="s">
        <v>1635</v>
      </c>
      <c r="B4" s="1057"/>
      <c r="C4" s="1057"/>
      <c r="D4" s="1057"/>
      <c r="E4" s="1057"/>
      <c r="F4" s="1057"/>
      <c r="G4" s="1057"/>
      <c r="H4" s="1057"/>
    </row>
    <row r="5" spans="1:8">
      <c r="A5" s="657"/>
      <c r="B5" s="657"/>
      <c r="C5" s="658"/>
      <c r="D5" s="658"/>
      <c r="E5" s="659"/>
      <c r="F5" s="1054"/>
      <c r="G5" s="1054"/>
      <c r="H5" s="1054"/>
    </row>
    <row r="6" spans="1:8" ht="15.75" customHeight="1">
      <c r="G6" s="660" t="s">
        <v>2</v>
      </c>
    </row>
    <row r="7" spans="1:8" ht="30.75" customHeight="1">
      <c r="A7" s="1053" t="s">
        <v>3</v>
      </c>
      <c r="B7" s="1053" t="s">
        <v>51</v>
      </c>
      <c r="C7" s="1053" t="s">
        <v>4</v>
      </c>
      <c r="D7" s="1053"/>
      <c r="E7" s="1060" t="s">
        <v>5</v>
      </c>
      <c r="F7" s="1060"/>
      <c r="G7" s="1053" t="s">
        <v>52</v>
      </c>
      <c r="H7" s="1053"/>
    </row>
    <row r="8" spans="1:8" ht="31.5">
      <c r="A8" s="1053"/>
      <c r="B8" s="1053"/>
      <c r="C8" s="661" t="s">
        <v>57</v>
      </c>
      <c r="D8" s="661" t="s">
        <v>58</v>
      </c>
      <c r="E8" s="663" t="s">
        <v>57</v>
      </c>
      <c r="F8" s="662" t="s">
        <v>58</v>
      </c>
      <c r="G8" s="661" t="s">
        <v>57</v>
      </c>
      <c r="H8" s="661" t="s">
        <v>58</v>
      </c>
    </row>
    <row r="9" spans="1:8" s="666" customFormat="1">
      <c r="A9" s="661" t="s">
        <v>9</v>
      </c>
      <c r="B9" s="661" t="s">
        <v>10</v>
      </c>
      <c r="C9" s="664" t="s">
        <v>1883</v>
      </c>
      <c r="D9" s="664" t="s">
        <v>1884</v>
      </c>
      <c r="E9" s="665" t="s">
        <v>1885</v>
      </c>
      <c r="F9" s="665" t="s">
        <v>1886</v>
      </c>
      <c r="G9" s="661" t="s">
        <v>59</v>
      </c>
      <c r="H9" s="661" t="s">
        <v>60</v>
      </c>
    </row>
    <row r="10" spans="1:8" s="672" customFormat="1" ht="40.5" customHeight="1">
      <c r="A10" s="661"/>
      <c r="B10" s="667" t="s">
        <v>61</v>
      </c>
      <c r="C10" s="668">
        <v>4146000</v>
      </c>
      <c r="D10" s="668">
        <v>3235000</v>
      </c>
      <c r="E10" s="669">
        <v>8982884.0020589996</v>
      </c>
      <c r="F10" s="670">
        <v>7744512.4205109989</v>
      </c>
      <c r="G10" s="671">
        <v>2.1666386883885673</v>
      </c>
      <c r="H10" s="671">
        <v>2.3939760187051</v>
      </c>
    </row>
    <row r="11" spans="1:8" s="672" customFormat="1" ht="33.75" customHeight="1">
      <c r="A11" s="661" t="s">
        <v>9</v>
      </c>
      <c r="B11" s="667" t="s">
        <v>62</v>
      </c>
      <c r="C11" s="668">
        <v>4050000</v>
      </c>
      <c r="D11" s="668">
        <v>3139000</v>
      </c>
      <c r="E11" s="669">
        <v>3832674.8932139995</v>
      </c>
      <c r="F11" s="670">
        <v>2594303.3116659992</v>
      </c>
      <c r="G11" s="671">
        <v>0.94633947980592581</v>
      </c>
      <c r="H11" s="671">
        <v>0.82647445417840049</v>
      </c>
    </row>
    <row r="12" spans="1:8" s="672" customFormat="1" ht="28.5" customHeight="1">
      <c r="A12" s="661" t="s">
        <v>14</v>
      </c>
      <c r="B12" s="667" t="s">
        <v>63</v>
      </c>
      <c r="C12" s="668">
        <v>3400000</v>
      </c>
      <c r="D12" s="668">
        <v>3139000</v>
      </c>
      <c r="E12" s="673">
        <v>2788232.1601129994</v>
      </c>
      <c r="F12" s="673">
        <v>2580465.1166369994</v>
      </c>
      <c r="G12" s="671">
        <v>0.82006828238617624</v>
      </c>
      <c r="H12" s="671">
        <v>0.82206598172570866</v>
      </c>
    </row>
    <row r="13" spans="1:8" ht="28.5" customHeight="1">
      <c r="A13" s="674">
        <v>1</v>
      </c>
      <c r="B13" s="675" t="s">
        <v>1874</v>
      </c>
      <c r="C13" s="676">
        <v>240000</v>
      </c>
      <c r="D13" s="676">
        <v>240000</v>
      </c>
      <c r="E13" s="677">
        <v>195175.07048699999</v>
      </c>
      <c r="F13" s="678">
        <v>195175.07048699999</v>
      </c>
      <c r="G13" s="679">
        <v>0.81322946036249999</v>
      </c>
      <c r="H13" s="679">
        <v>0.81322946036249999</v>
      </c>
    </row>
    <row r="14" spans="1:8" ht="28.5" customHeight="1">
      <c r="A14" s="674" t="s">
        <v>96</v>
      </c>
      <c r="B14" s="675" t="s">
        <v>97</v>
      </c>
      <c r="C14" s="676">
        <v>190000</v>
      </c>
      <c r="D14" s="676">
        <v>190000</v>
      </c>
      <c r="E14" s="677">
        <v>160072.365487</v>
      </c>
      <c r="F14" s="678">
        <v>160072.365487</v>
      </c>
      <c r="G14" s="679">
        <v>0.84248613414210527</v>
      </c>
      <c r="H14" s="679">
        <v>0.84248613414210527</v>
      </c>
    </row>
    <row r="15" spans="1:8" ht="28.5" customHeight="1">
      <c r="A15" s="674" t="s">
        <v>98</v>
      </c>
      <c r="B15" s="675" t="s">
        <v>99</v>
      </c>
      <c r="C15" s="676">
        <v>25000</v>
      </c>
      <c r="D15" s="676">
        <v>25000</v>
      </c>
      <c r="E15" s="677">
        <v>11512.017046000001</v>
      </c>
      <c r="F15" s="678">
        <v>11512.017046000001</v>
      </c>
      <c r="G15" s="679">
        <v>0.46048068184000002</v>
      </c>
      <c r="H15" s="679">
        <v>0.46048068184000002</v>
      </c>
    </row>
    <row r="16" spans="1:8" ht="28.5" customHeight="1">
      <c r="A16" s="674" t="s">
        <v>100</v>
      </c>
      <c r="B16" s="675" t="s">
        <v>101</v>
      </c>
      <c r="C16" s="676"/>
      <c r="D16" s="676"/>
      <c r="E16" s="677"/>
      <c r="F16" s="678"/>
      <c r="G16" s="679"/>
      <c r="H16" s="679"/>
    </row>
    <row r="17" spans="1:8" ht="28.5" customHeight="1">
      <c r="A17" s="674" t="s">
        <v>102</v>
      </c>
      <c r="B17" s="675" t="s">
        <v>103</v>
      </c>
      <c r="C17" s="676">
        <v>25000</v>
      </c>
      <c r="D17" s="676">
        <v>25000</v>
      </c>
      <c r="E17" s="677">
        <v>23590.687954000001</v>
      </c>
      <c r="F17" s="1004">
        <v>23590.687954000001</v>
      </c>
      <c r="G17" s="679">
        <v>0.94362751816000001</v>
      </c>
      <c r="H17" s="679">
        <v>0.94362751816000001</v>
      </c>
    </row>
    <row r="18" spans="1:8" ht="28.5" customHeight="1">
      <c r="A18" s="674" t="s">
        <v>104</v>
      </c>
      <c r="B18" s="675" t="s">
        <v>217</v>
      </c>
      <c r="C18" s="676"/>
      <c r="D18" s="676">
        <v>0</v>
      </c>
      <c r="E18" s="677"/>
      <c r="F18" s="678"/>
      <c r="G18" s="679"/>
      <c r="H18" s="679"/>
    </row>
    <row r="19" spans="1:8" ht="28.5" customHeight="1">
      <c r="A19" s="674" t="s">
        <v>210</v>
      </c>
      <c r="B19" s="675" t="s">
        <v>105</v>
      </c>
      <c r="C19" s="676"/>
      <c r="D19" s="676">
        <v>0</v>
      </c>
      <c r="E19" s="677"/>
      <c r="F19" s="678"/>
      <c r="G19" s="679"/>
      <c r="H19" s="679"/>
    </row>
    <row r="20" spans="1:8" ht="28.5" customHeight="1">
      <c r="A20" s="674">
        <v>2</v>
      </c>
      <c r="B20" s="675" t="s">
        <v>64</v>
      </c>
      <c r="C20" s="676">
        <v>45000</v>
      </c>
      <c r="D20" s="676">
        <v>45000</v>
      </c>
      <c r="E20" s="677">
        <v>50044.551340000005</v>
      </c>
      <c r="F20" s="678">
        <v>50044.551340000005</v>
      </c>
      <c r="G20" s="679">
        <v>1.112101140888889</v>
      </c>
      <c r="H20" s="679">
        <v>1.112101140888889</v>
      </c>
    </row>
    <row r="21" spans="1:8" ht="28.5" customHeight="1">
      <c r="A21" s="674" t="s">
        <v>106</v>
      </c>
      <c r="B21" s="675" t="s">
        <v>97</v>
      </c>
      <c r="C21" s="676">
        <v>30000</v>
      </c>
      <c r="D21" s="676">
        <v>30000</v>
      </c>
      <c r="E21" s="677">
        <v>25847.975806999999</v>
      </c>
      <c r="F21" s="678">
        <v>25847.975806999999</v>
      </c>
      <c r="G21" s="679">
        <v>0.86159919356666659</v>
      </c>
      <c r="H21" s="679">
        <v>0.86159919356666659</v>
      </c>
    </row>
    <row r="22" spans="1:8" ht="28.5" customHeight="1">
      <c r="A22" s="674" t="s">
        <v>107</v>
      </c>
      <c r="B22" s="675" t="s">
        <v>99</v>
      </c>
      <c r="C22" s="676">
        <v>14500</v>
      </c>
      <c r="D22" s="676">
        <v>14500</v>
      </c>
      <c r="E22" s="677">
        <v>21070.682806000001</v>
      </c>
      <c r="F22" s="678">
        <v>21070.682806000001</v>
      </c>
      <c r="G22" s="679">
        <v>1.4531505383448275</v>
      </c>
      <c r="H22" s="679">
        <v>1.4531505383448275</v>
      </c>
    </row>
    <row r="23" spans="1:8" ht="28.5" customHeight="1">
      <c r="A23" s="674" t="s">
        <v>108</v>
      </c>
      <c r="B23" s="675" t="s">
        <v>101</v>
      </c>
      <c r="C23" s="676">
        <v>100</v>
      </c>
      <c r="D23" s="676">
        <v>100</v>
      </c>
      <c r="E23" s="677">
        <v>2062.5223369999999</v>
      </c>
      <c r="F23" s="678">
        <v>2062.5223369999999</v>
      </c>
      <c r="G23" s="679">
        <v>20.625223370000001</v>
      </c>
      <c r="H23" s="679">
        <v>20.625223370000001</v>
      </c>
    </row>
    <row r="24" spans="1:8" ht="28.5" customHeight="1">
      <c r="A24" s="674" t="s">
        <v>109</v>
      </c>
      <c r="B24" s="675" t="s">
        <v>103</v>
      </c>
      <c r="C24" s="676">
        <v>400</v>
      </c>
      <c r="D24" s="676">
        <v>400</v>
      </c>
      <c r="E24" s="677">
        <v>1063.37039</v>
      </c>
      <c r="F24" s="678">
        <v>1063.37039</v>
      </c>
      <c r="G24" s="679">
        <v>2.6584259750000001</v>
      </c>
      <c r="H24" s="679">
        <v>2.6584259750000001</v>
      </c>
    </row>
    <row r="25" spans="1:8" ht="28.5" customHeight="1">
      <c r="A25" s="674" t="s">
        <v>110</v>
      </c>
      <c r="B25" s="675" t="s">
        <v>217</v>
      </c>
      <c r="C25" s="676"/>
      <c r="D25" s="676"/>
      <c r="E25" s="677"/>
      <c r="F25" s="678"/>
      <c r="G25" s="679"/>
      <c r="H25" s="679"/>
    </row>
    <row r="26" spans="1:8" ht="28.5" customHeight="1">
      <c r="A26" s="674" t="s">
        <v>211</v>
      </c>
      <c r="B26" s="675" t="s">
        <v>215</v>
      </c>
      <c r="C26" s="676"/>
      <c r="D26" s="676"/>
      <c r="E26" s="677"/>
      <c r="F26" s="678"/>
      <c r="G26" s="679"/>
      <c r="H26" s="679"/>
    </row>
    <row r="27" spans="1:8" ht="28.5" customHeight="1">
      <c r="A27" s="674" t="s">
        <v>216</v>
      </c>
      <c r="B27" s="675" t="s">
        <v>105</v>
      </c>
      <c r="C27" s="676"/>
      <c r="D27" s="676"/>
      <c r="E27" s="677"/>
      <c r="F27" s="678"/>
      <c r="G27" s="679"/>
      <c r="H27" s="679"/>
    </row>
    <row r="28" spans="1:8" ht="28.5" customHeight="1">
      <c r="A28" s="674">
        <v>3</v>
      </c>
      <c r="B28" s="675" t="s">
        <v>1875</v>
      </c>
      <c r="C28" s="676">
        <v>55000</v>
      </c>
      <c r="D28" s="676">
        <v>55000</v>
      </c>
      <c r="E28" s="677">
        <v>44025.236340000003</v>
      </c>
      <c r="F28" s="678">
        <v>44025.236340000003</v>
      </c>
      <c r="G28" s="679">
        <v>0.80045884254545463</v>
      </c>
      <c r="H28" s="679">
        <v>0.80045884254545463</v>
      </c>
    </row>
    <row r="29" spans="1:8" ht="28.5" customHeight="1">
      <c r="A29" s="674" t="s">
        <v>111</v>
      </c>
      <c r="B29" s="675" t="s">
        <v>97</v>
      </c>
      <c r="C29" s="676">
        <v>24900</v>
      </c>
      <c r="D29" s="676">
        <v>24900</v>
      </c>
      <c r="E29" s="677">
        <v>8256.9699860000001</v>
      </c>
      <c r="F29" s="678">
        <v>8256.9699860000001</v>
      </c>
      <c r="G29" s="679">
        <v>0.33160522032128514</v>
      </c>
      <c r="H29" s="679">
        <v>0.33160522032128514</v>
      </c>
    </row>
    <row r="30" spans="1:8" ht="28.5" customHeight="1">
      <c r="A30" s="674" t="s">
        <v>112</v>
      </c>
      <c r="B30" s="675" t="s">
        <v>99</v>
      </c>
      <c r="C30" s="676">
        <v>30000</v>
      </c>
      <c r="D30" s="676">
        <v>30000</v>
      </c>
      <c r="E30" s="677">
        <v>35726.739953999997</v>
      </c>
      <c r="F30" s="678">
        <v>35726.739953999997</v>
      </c>
      <c r="G30" s="679">
        <v>1.1908913317999998</v>
      </c>
      <c r="H30" s="679">
        <v>1.1908913317999998</v>
      </c>
    </row>
    <row r="31" spans="1:8" ht="28.5" customHeight="1">
      <c r="A31" s="674" t="s">
        <v>113</v>
      </c>
      <c r="B31" s="675" t="s">
        <v>101</v>
      </c>
      <c r="C31" s="676"/>
      <c r="D31" s="676"/>
      <c r="E31" s="677"/>
      <c r="F31" s="678"/>
      <c r="G31" s="679"/>
      <c r="H31" s="679"/>
    </row>
    <row r="32" spans="1:8" ht="28.5" customHeight="1">
      <c r="A32" s="674" t="s">
        <v>114</v>
      </c>
      <c r="B32" s="675" t="s">
        <v>103</v>
      </c>
      <c r="C32" s="676">
        <v>100</v>
      </c>
      <c r="D32" s="676">
        <v>100</v>
      </c>
      <c r="E32" s="677">
        <v>41.526400000000002</v>
      </c>
      <c r="F32" s="678">
        <v>41.526400000000002</v>
      </c>
      <c r="G32" s="679">
        <v>0.41526400000000002</v>
      </c>
      <c r="H32" s="679">
        <v>0.41526400000000002</v>
      </c>
    </row>
    <row r="33" spans="1:8" ht="28.5" customHeight="1">
      <c r="A33" s="674" t="s">
        <v>115</v>
      </c>
      <c r="B33" s="675" t="s">
        <v>217</v>
      </c>
      <c r="C33" s="676"/>
      <c r="D33" s="676">
        <v>0</v>
      </c>
      <c r="E33" s="677"/>
      <c r="F33" s="678"/>
      <c r="G33" s="679"/>
      <c r="H33" s="679"/>
    </row>
    <row r="34" spans="1:8" ht="28.5" customHeight="1">
      <c r="A34" s="674" t="s">
        <v>212</v>
      </c>
      <c r="B34" s="675" t="s">
        <v>105</v>
      </c>
      <c r="C34" s="676"/>
      <c r="D34" s="676">
        <v>0</v>
      </c>
      <c r="E34" s="677"/>
      <c r="F34" s="678"/>
      <c r="G34" s="679"/>
      <c r="H34" s="679"/>
    </row>
    <row r="35" spans="1:8" ht="28.5" customHeight="1">
      <c r="A35" s="674">
        <v>4</v>
      </c>
      <c r="B35" s="675" t="s">
        <v>1876</v>
      </c>
      <c r="C35" s="676">
        <v>1048000</v>
      </c>
      <c r="D35" s="676">
        <v>1048000</v>
      </c>
      <c r="E35" s="677">
        <v>1131070.450703</v>
      </c>
      <c r="F35" s="678">
        <v>1131070.448106</v>
      </c>
      <c r="G35" s="679">
        <v>1.0792656972356869</v>
      </c>
      <c r="H35" s="679">
        <v>1.0792656947576336</v>
      </c>
    </row>
    <row r="36" spans="1:8" ht="28.5" customHeight="1">
      <c r="A36" s="674" t="s">
        <v>116</v>
      </c>
      <c r="B36" s="675" t="s">
        <v>97</v>
      </c>
      <c r="C36" s="676">
        <v>816000</v>
      </c>
      <c r="D36" s="676">
        <v>816000</v>
      </c>
      <c r="E36" s="677">
        <v>844256.62794699997</v>
      </c>
      <c r="F36" s="678">
        <v>844256.62794699997</v>
      </c>
      <c r="G36" s="679">
        <v>1.0346282205232842</v>
      </c>
      <c r="H36" s="679">
        <v>1.0346282205232842</v>
      </c>
    </row>
    <row r="37" spans="1:8" ht="28.5" customHeight="1">
      <c r="A37" s="674" t="s">
        <v>117</v>
      </c>
      <c r="B37" s="675" t="s">
        <v>99</v>
      </c>
      <c r="C37" s="676">
        <v>60000</v>
      </c>
      <c r="D37" s="676">
        <v>60000</v>
      </c>
      <c r="E37" s="677">
        <v>108515.83880300001</v>
      </c>
      <c r="F37" s="678">
        <v>108515.83880300001</v>
      </c>
      <c r="G37" s="679">
        <v>1.8085973133833335</v>
      </c>
      <c r="H37" s="679">
        <v>1.8085973133833335</v>
      </c>
    </row>
    <row r="38" spans="1:8" ht="28.5" customHeight="1">
      <c r="A38" s="674" t="s">
        <v>118</v>
      </c>
      <c r="B38" s="675" t="s">
        <v>101</v>
      </c>
      <c r="C38" s="676">
        <v>112000</v>
      </c>
      <c r="D38" s="676">
        <v>112000</v>
      </c>
      <c r="E38" s="677">
        <v>123006.294062</v>
      </c>
      <c r="F38" s="678">
        <v>123006.291465</v>
      </c>
      <c r="G38" s="679">
        <v>1.0982704826964287</v>
      </c>
      <c r="H38" s="679">
        <v>1.0982704595089285</v>
      </c>
    </row>
    <row r="39" spans="1:8" ht="28.5" customHeight="1">
      <c r="A39" s="674" t="s">
        <v>119</v>
      </c>
      <c r="B39" s="675" t="s">
        <v>103</v>
      </c>
      <c r="C39" s="676">
        <v>60000</v>
      </c>
      <c r="D39" s="676">
        <v>60000</v>
      </c>
      <c r="E39" s="677">
        <v>55291.689891000002</v>
      </c>
      <c r="F39" s="678">
        <v>55291.689891000002</v>
      </c>
      <c r="G39" s="679">
        <v>0.92152816485</v>
      </c>
      <c r="H39" s="679">
        <v>0.92152816485</v>
      </c>
    </row>
    <row r="40" spans="1:8" ht="28.5" customHeight="1">
      <c r="A40" s="674" t="s">
        <v>120</v>
      </c>
      <c r="B40" s="675" t="s">
        <v>217</v>
      </c>
      <c r="C40" s="676"/>
      <c r="D40" s="676"/>
      <c r="E40" s="677"/>
      <c r="F40" s="678"/>
      <c r="G40" s="679"/>
      <c r="H40" s="679"/>
    </row>
    <row r="41" spans="1:8" ht="28.5" customHeight="1">
      <c r="A41" s="674" t="s">
        <v>213</v>
      </c>
      <c r="B41" s="675" t="s">
        <v>105</v>
      </c>
      <c r="C41" s="676"/>
      <c r="D41" s="676"/>
      <c r="E41" s="677"/>
      <c r="F41" s="678"/>
      <c r="G41" s="679"/>
      <c r="H41" s="679"/>
    </row>
    <row r="42" spans="1:8" ht="28.5" customHeight="1">
      <c r="A42" s="674">
        <v>5</v>
      </c>
      <c r="B42" s="675" t="s">
        <v>65</v>
      </c>
      <c r="C42" s="676">
        <v>215000</v>
      </c>
      <c r="D42" s="676">
        <v>215000</v>
      </c>
      <c r="E42" s="677">
        <v>136513.94237399998</v>
      </c>
      <c r="F42" s="678">
        <v>136513.94237399998</v>
      </c>
      <c r="G42" s="679">
        <v>0.63494856918139519</v>
      </c>
      <c r="H42" s="679">
        <v>0.63494856918139519</v>
      </c>
    </row>
    <row r="43" spans="1:8" ht="28.5" customHeight="1">
      <c r="A43" s="674">
        <v>6</v>
      </c>
      <c r="B43" s="675" t="s">
        <v>66</v>
      </c>
      <c r="C43" s="676">
        <v>450000</v>
      </c>
      <c r="D43" s="676">
        <v>270000</v>
      </c>
      <c r="E43" s="677">
        <v>191751.34486499999</v>
      </c>
      <c r="F43" s="678">
        <v>115050.865464</v>
      </c>
      <c r="G43" s="679">
        <v>0.42611409969999997</v>
      </c>
      <c r="H43" s="679">
        <v>0.42611431653333331</v>
      </c>
    </row>
    <row r="44" spans="1:8" ht="53.25" customHeight="1">
      <c r="A44" s="674" t="s">
        <v>16</v>
      </c>
      <c r="B44" s="680" t="s">
        <v>67</v>
      </c>
      <c r="C44" s="676">
        <v>270000</v>
      </c>
      <c r="D44" s="681">
        <v>270000</v>
      </c>
      <c r="E44" s="904">
        <v>115050.865464</v>
      </c>
      <c r="F44" s="678"/>
      <c r="G44" s="679">
        <v>0.42611431653333331</v>
      </c>
      <c r="H44" s="679"/>
    </row>
    <row r="45" spans="1:8" ht="33" customHeight="1">
      <c r="A45" s="674" t="s">
        <v>16</v>
      </c>
      <c r="B45" s="680" t="s">
        <v>68</v>
      </c>
      <c r="C45" s="676">
        <v>180000</v>
      </c>
      <c r="D45" s="681"/>
      <c r="E45" s="677">
        <v>76700.47940099999</v>
      </c>
      <c r="F45" s="678"/>
      <c r="G45" s="679">
        <v>0.42611377444999993</v>
      </c>
      <c r="H45" s="679"/>
    </row>
    <row r="46" spans="1:8" ht="28.5" customHeight="1">
      <c r="A46" s="674">
        <v>7</v>
      </c>
      <c r="B46" s="675" t="s">
        <v>69</v>
      </c>
      <c r="C46" s="676">
        <v>246000</v>
      </c>
      <c r="D46" s="676">
        <v>246000</v>
      </c>
      <c r="E46" s="677">
        <v>157674.23027</v>
      </c>
      <c r="F46" s="678">
        <v>157674.23027</v>
      </c>
      <c r="G46" s="679">
        <v>0.64095215556910567</v>
      </c>
      <c r="H46" s="679">
        <v>0.64095215556910567</v>
      </c>
    </row>
    <row r="47" spans="1:8" ht="28.5" customHeight="1">
      <c r="A47" s="674">
        <v>8</v>
      </c>
      <c r="B47" s="675" t="s">
        <v>70</v>
      </c>
      <c r="C47" s="676">
        <v>80000</v>
      </c>
      <c r="D47" s="676">
        <v>58000</v>
      </c>
      <c r="E47" s="677">
        <v>114465.29040700001</v>
      </c>
      <c r="F47" s="678">
        <v>95078.351836000002</v>
      </c>
      <c r="G47" s="679">
        <v>1.4308161300875002</v>
      </c>
      <c r="H47" s="679">
        <v>1.6392819282068967</v>
      </c>
    </row>
    <row r="48" spans="1:8" ht="28.5" customHeight="1">
      <c r="A48" s="674" t="s">
        <v>16</v>
      </c>
      <c r="B48" s="680" t="s">
        <v>71</v>
      </c>
      <c r="C48" s="681">
        <v>22000</v>
      </c>
      <c r="D48" s="681"/>
      <c r="E48" s="682">
        <v>19386.938570999999</v>
      </c>
      <c r="F48" s="683"/>
      <c r="G48" s="679">
        <v>0.88122448049999991</v>
      </c>
      <c r="H48" s="679"/>
    </row>
    <row r="49" spans="1:8" ht="28.5" customHeight="1">
      <c r="A49" s="674" t="s">
        <v>16</v>
      </c>
      <c r="B49" s="680" t="s">
        <v>72</v>
      </c>
      <c r="C49" s="681">
        <v>37110</v>
      </c>
      <c r="D49" s="681">
        <v>37110</v>
      </c>
      <c r="E49" s="682">
        <v>74532.046820999996</v>
      </c>
      <c r="F49" s="683">
        <v>74532.046820999996</v>
      </c>
      <c r="G49" s="679">
        <v>2.008408699029911</v>
      </c>
      <c r="H49" s="679">
        <v>2.008408699029911</v>
      </c>
    </row>
    <row r="50" spans="1:8" ht="28.5" customHeight="1">
      <c r="A50" s="674" t="s">
        <v>16</v>
      </c>
      <c r="B50" s="680" t="s">
        <v>73</v>
      </c>
      <c r="C50" s="1058">
        <v>20890</v>
      </c>
      <c r="D50" s="1058">
        <v>20890</v>
      </c>
      <c r="E50" s="682">
        <v>15747.013444999999</v>
      </c>
      <c r="F50" s="683">
        <v>15747.013444999999</v>
      </c>
      <c r="G50" s="679">
        <v>0.75380629224509332</v>
      </c>
      <c r="H50" s="679">
        <v>0.75380629224509332</v>
      </c>
    </row>
    <row r="51" spans="1:8" ht="28.5" customHeight="1">
      <c r="A51" s="674" t="s">
        <v>16</v>
      </c>
      <c r="B51" s="680" t="s">
        <v>74</v>
      </c>
      <c r="C51" s="1059"/>
      <c r="D51" s="1059"/>
      <c r="E51" s="682">
        <v>4799.2915700000003</v>
      </c>
      <c r="F51" s="683">
        <v>4799.2915700000003</v>
      </c>
      <c r="G51" s="679"/>
      <c r="H51" s="679"/>
    </row>
    <row r="52" spans="1:8" ht="28.5" customHeight="1">
      <c r="A52" s="674">
        <v>9</v>
      </c>
      <c r="B52" s="675" t="s">
        <v>75</v>
      </c>
      <c r="C52" s="676"/>
      <c r="D52" s="681">
        <v>0</v>
      </c>
      <c r="E52" s="677">
        <v>1165.4000000000001</v>
      </c>
      <c r="F52" s="678">
        <v>1165.4000000000001</v>
      </c>
      <c r="G52" s="679"/>
      <c r="H52" s="679"/>
    </row>
    <row r="53" spans="1:8" ht="28.5" customHeight="1">
      <c r="A53" s="674">
        <v>10</v>
      </c>
      <c r="B53" s="675" t="s">
        <v>76</v>
      </c>
      <c r="C53" s="676">
        <v>6000</v>
      </c>
      <c r="D53" s="681">
        <v>6000</v>
      </c>
      <c r="E53" s="677">
        <v>12896.630911</v>
      </c>
      <c r="F53" s="678">
        <v>12896.630911</v>
      </c>
      <c r="G53" s="679">
        <v>2.1494384851666668</v>
      </c>
      <c r="H53" s="679">
        <v>2.1494384851666668</v>
      </c>
    </row>
    <row r="54" spans="1:8" ht="28.5" customHeight="1">
      <c r="A54" s="674">
        <v>11</v>
      </c>
      <c r="B54" s="675" t="s">
        <v>77</v>
      </c>
      <c r="C54" s="676">
        <v>33000</v>
      </c>
      <c r="D54" s="681">
        <v>33000</v>
      </c>
      <c r="E54" s="677">
        <v>111950.881337</v>
      </c>
      <c r="F54" s="678">
        <v>111950.881337</v>
      </c>
      <c r="G54" s="679">
        <v>3.3924509496060606</v>
      </c>
      <c r="H54" s="679">
        <v>3.3924509496060606</v>
      </c>
    </row>
    <row r="55" spans="1:8" ht="28.5" customHeight="1">
      <c r="A55" s="674">
        <v>12</v>
      </c>
      <c r="B55" s="675" t="s">
        <v>78</v>
      </c>
      <c r="C55" s="676">
        <v>800000</v>
      </c>
      <c r="D55" s="676">
        <v>800000</v>
      </c>
      <c r="E55" s="677">
        <v>326716.616538</v>
      </c>
      <c r="F55" s="678">
        <v>326716.616538</v>
      </c>
      <c r="G55" s="679">
        <v>0.40839577067249999</v>
      </c>
      <c r="H55" s="679">
        <v>0.40839577067249999</v>
      </c>
    </row>
    <row r="56" spans="1:8" ht="85.5" customHeight="1">
      <c r="A56" s="674"/>
      <c r="B56" s="675" t="s">
        <v>1877</v>
      </c>
      <c r="C56" s="676"/>
      <c r="D56" s="681"/>
      <c r="E56" s="677"/>
      <c r="F56" s="677">
        <v>0</v>
      </c>
      <c r="G56" s="679"/>
      <c r="H56" s="679"/>
    </row>
    <row r="57" spans="1:8" ht="41.25" customHeight="1">
      <c r="A57" s="674">
        <v>13</v>
      </c>
      <c r="B57" s="675" t="s">
        <v>79</v>
      </c>
      <c r="C57" s="676"/>
      <c r="D57" s="681">
        <v>0</v>
      </c>
      <c r="E57" s="677">
        <v>5261.88</v>
      </c>
      <c r="F57" s="678">
        <v>5261.88</v>
      </c>
      <c r="G57" s="679"/>
      <c r="H57" s="679"/>
    </row>
    <row r="58" spans="1:8" ht="28.5" customHeight="1">
      <c r="A58" s="674">
        <v>14</v>
      </c>
      <c r="B58" s="675" t="s">
        <v>80</v>
      </c>
      <c r="C58" s="684">
        <v>40000</v>
      </c>
      <c r="D58" s="676">
        <v>40000</v>
      </c>
      <c r="E58" s="685">
        <v>54828.975977000002</v>
      </c>
      <c r="F58" s="686">
        <v>54828.975977000002</v>
      </c>
      <c r="G58" s="679">
        <v>1.370724399425</v>
      </c>
      <c r="H58" s="679">
        <v>1.370724399425</v>
      </c>
    </row>
    <row r="59" spans="1:8" ht="28.5" customHeight="1">
      <c r="A59" s="674">
        <v>15</v>
      </c>
      <c r="B59" s="675" t="s">
        <v>81</v>
      </c>
      <c r="C59" s="676">
        <v>18000</v>
      </c>
      <c r="D59" s="676">
        <v>11000</v>
      </c>
      <c r="E59" s="677">
        <v>24484.003080000002</v>
      </c>
      <c r="F59" s="677">
        <v>16084.134663000001</v>
      </c>
      <c r="G59" s="679">
        <v>1.3602223933333335</v>
      </c>
      <c r="H59" s="679">
        <v>1.4621940602727272</v>
      </c>
    </row>
    <row r="60" spans="1:8" ht="28.5" customHeight="1">
      <c r="A60" s="674"/>
      <c r="B60" s="680" t="s">
        <v>230</v>
      </c>
      <c r="C60" s="749">
        <v>10000</v>
      </c>
      <c r="D60" s="681">
        <v>3000</v>
      </c>
      <c r="E60" s="677">
        <v>11998.259526</v>
      </c>
      <c r="F60" s="678">
        <v>3598.3911089999997</v>
      </c>
      <c r="G60" s="679">
        <v>1.1998259525999999</v>
      </c>
      <c r="H60" s="679">
        <v>1.1994637029999999</v>
      </c>
    </row>
    <row r="61" spans="1:8" ht="28.5" customHeight="1">
      <c r="A61" s="674"/>
      <c r="B61" s="680" t="s">
        <v>231</v>
      </c>
      <c r="C61" s="749">
        <v>8000</v>
      </c>
      <c r="D61" s="681">
        <v>8000</v>
      </c>
      <c r="E61" s="677">
        <v>12485.743554000001</v>
      </c>
      <c r="F61" s="678">
        <v>12485.743554000001</v>
      </c>
      <c r="G61" s="679">
        <v>1.5607179442500001</v>
      </c>
      <c r="H61" s="679">
        <v>1.5607179442500001</v>
      </c>
    </row>
    <row r="62" spans="1:8" ht="28.5" customHeight="1">
      <c r="A62" s="674">
        <v>16</v>
      </c>
      <c r="B62" s="675" t="s">
        <v>82</v>
      </c>
      <c r="C62" s="676">
        <v>110000</v>
      </c>
      <c r="D62" s="676">
        <v>58000</v>
      </c>
      <c r="E62" s="677">
        <v>207961.519501</v>
      </c>
      <c r="F62" s="678">
        <v>104681.765011</v>
      </c>
      <c r="G62" s="679">
        <v>1.8905592681909091</v>
      </c>
      <c r="H62" s="679">
        <v>1.8048580174310345</v>
      </c>
    </row>
    <row r="63" spans="1:8" ht="28.5" customHeight="1">
      <c r="A63" s="674"/>
      <c r="B63" s="680" t="s">
        <v>229</v>
      </c>
      <c r="C63" s="676">
        <v>52000</v>
      </c>
      <c r="D63" s="676"/>
      <c r="E63" s="677">
        <v>103279.75449000001</v>
      </c>
      <c r="F63" s="678"/>
      <c r="G63" s="679">
        <v>1.9861491248076923</v>
      </c>
      <c r="H63" s="679"/>
    </row>
    <row r="64" spans="1:8" ht="33" customHeight="1">
      <c r="A64" s="674"/>
      <c r="B64" s="675" t="s">
        <v>219</v>
      </c>
      <c r="C64" s="676"/>
      <c r="D64" s="676"/>
      <c r="E64" s="677">
        <v>38247.211775000003</v>
      </c>
      <c r="F64" s="678">
        <v>9093.8997639999998</v>
      </c>
      <c r="G64" s="679"/>
      <c r="H64" s="679"/>
    </row>
    <row r="65" spans="1:8" ht="28.5" customHeight="1">
      <c r="A65" s="674"/>
      <c r="B65" s="675" t="s">
        <v>220</v>
      </c>
      <c r="C65" s="676"/>
      <c r="D65" s="676"/>
      <c r="E65" s="677">
        <v>60832.464429</v>
      </c>
      <c r="F65" s="678">
        <v>3604.326</v>
      </c>
      <c r="G65" s="679"/>
      <c r="H65" s="679"/>
    </row>
    <row r="66" spans="1:8" ht="28.5" customHeight="1">
      <c r="A66" s="674"/>
      <c r="B66" s="675" t="s">
        <v>2666</v>
      </c>
      <c r="C66" s="676"/>
      <c r="D66" s="676"/>
      <c r="E66" s="677">
        <v>16631.553883999997</v>
      </c>
      <c r="F66" s="678">
        <v>3193.9298530000001</v>
      </c>
      <c r="G66" s="679"/>
      <c r="H66" s="679"/>
    </row>
    <row r="67" spans="1:8" s="688" customFormat="1" ht="28.5" hidden="1" customHeight="1">
      <c r="A67" s="687"/>
      <c r="B67" s="680" t="s">
        <v>221</v>
      </c>
      <c r="C67" s="681"/>
      <c r="D67" s="676"/>
      <c r="E67" s="677"/>
      <c r="F67" s="678"/>
      <c r="G67" s="679"/>
      <c r="H67" s="679"/>
    </row>
    <row r="68" spans="1:8" ht="28.5" customHeight="1">
      <c r="A68" s="674"/>
      <c r="B68" s="675" t="s">
        <v>222</v>
      </c>
      <c r="C68" s="676"/>
      <c r="D68" s="676"/>
      <c r="E68" s="677"/>
      <c r="F68" s="678"/>
      <c r="G68" s="679"/>
      <c r="H68" s="679"/>
    </row>
    <row r="69" spans="1:8" ht="28.5" customHeight="1">
      <c r="A69" s="674"/>
      <c r="B69" s="675" t="s">
        <v>223</v>
      </c>
      <c r="C69" s="676"/>
      <c r="D69" s="676"/>
      <c r="E69" s="677">
        <v>37287.257068999999</v>
      </c>
      <c r="F69" s="678">
        <v>37106.857368999998</v>
      </c>
      <c r="G69" s="679"/>
      <c r="H69" s="679"/>
    </row>
    <row r="70" spans="1:8" ht="28.5" customHeight="1">
      <c r="A70" s="674"/>
      <c r="B70" s="675" t="s">
        <v>224</v>
      </c>
      <c r="C70" s="676"/>
      <c r="D70" s="676"/>
      <c r="E70" s="677"/>
      <c r="F70" s="678"/>
      <c r="G70" s="679"/>
      <c r="H70" s="679"/>
    </row>
    <row r="71" spans="1:8" ht="28.5" customHeight="1">
      <c r="A71" s="674"/>
      <c r="B71" s="675" t="s">
        <v>218</v>
      </c>
      <c r="C71" s="676"/>
      <c r="D71" s="676"/>
      <c r="E71" s="677"/>
      <c r="F71" s="678"/>
      <c r="G71" s="679"/>
      <c r="H71" s="679"/>
    </row>
    <row r="72" spans="1:8" ht="28.5" customHeight="1">
      <c r="A72" s="674"/>
      <c r="B72" s="675" t="s">
        <v>225</v>
      </c>
      <c r="C72" s="676"/>
      <c r="D72" s="676"/>
      <c r="E72" s="677">
        <v>16927.306700000001</v>
      </c>
      <c r="F72" s="678">
        <v>14304.695888999999</v>
      </c>
      <c r="G72" s="679"/>
      <c r="H72" s="679"/>
    </row>
    <row r="73" spans="1:8" ht="28.5" customHeight="1">
      <c r="A73" s="674"/>
      <c r="B73" s="675" t="s">
        <v>226</v>
      </c>
      <c r="C73" s="676"/>
      <c r="D73" s="676"/>
      <c r="E73" s="677">
        <v>38035.725643999998</v>
      </c>
      <c r="F73" s="678">
        <v>37378.056135999999</v>
      </c>
      <c r="G73" s="679"/>
      <c r="H73" s="679"/>
    </row>
    <row r="74" spans="1:8" ht="28.5" customHeight="1">
      <c r="A74" s="674">
        <v>17</v>
      </c>
      <c r="B74" s="675" t="s">
        <v>83</v>
      </c>
      <c r="C74" s="676">
        <v>6000</v>
      </c>
      <c r="D74" s="676">
        <v>6000</v>
      </c>
      <c r="E74" s="677">
        <v>10524.89624</v>
      </c>
      <c r="F74" s="678">
        <v>10524.89624</v>
      </c>
      <c r="G74" s="679">
        <v>1.7541493733333333</v>
      </c>
      <c r="H74" s="679">
        <v>1.7541493733333333</v>
      </c>
    </row>
    <row r="75" spans="1:8" ht="28.5" customHeight="1">
      <c r="A75" s="674">
        <v>18</v>
      </c>
      <c r="B75" s="675" t="s">
        <v>2667</v>
      </c>
      <c r="C75" s="676">
        <v>8000</v>
      </c>
      <c r="D75" s="676">
        <v>8000</v>
      </c>
      <c r="E75" s="677">
        <v>11721.239743</v>
      </c>
      <c r="F75" s="678">
        <v>11721.239743</v>
      </c>
      <c r="G75" s="679">
        <v>1.465154967875</v>
      </c>
      <c r="H75" s="679">
        <v>1.465154967875</v>
      </c>
    </row>
    <row r="76" spans="1:8" ht="96.75" customHeight="1">
      <c r="A76" s="674">
        <v>19</v>
      </c>
      <c r="B76" s="675" t="s">
        <v>2668</v>
      </c>
      <c r="C76" s="676"/>
      <c r="D76" s="676"/>
      <c r="E76" s="677"/>
      <c r="F76" s="678"/>
      <c r="G76" s="679"/>
      <c r="H76" s="679"/>
    </row>
    <row r="77" spans="1:8" ht="28.5" customHeight="1">
      <c r="A77" s="674">
        <v>20</v>
      </c>
      <c r="B77" s="675" t="s">
        <v>2669</v>
      </c>
      <c r="C77" s="676"/>
      <c r="D77" s="676"/>
      <c r="E77" s="677"/>
      <c r="F77" s="678"/>
      <c r="G77" s="679"/>
      <c r="H77" s="679"/>
    </row>
    <row r="78" spans="1:8" ht="28.5" customHeight="1">
      <c r="A78" s="661" t="s">
        <v>19</v>
      </c>
      <c r="B78" s="667" t="s">
        <v>84</v>
      </c>
      <c r="C78" s="668"/>
      <c r="D78" s="676"/>
      <c r="E78" s="669"/>
      <c r="F78" s="670"/>
      <c r="G78" s="679"/>
      <c r="H78" s="679"/>
    </row>
    <row r="79" spans="1:8" ht="28.5" customHeight="1">
      <c r="A79" s="661" t="s">
        <v>23</v>
      </c>
      <c r="B79" s="667" t="s">
        <v>85</v>
      </c>
      <c r="C79" s="668">
        <v>650000</v>
      </c>
      <c r="D79" s="668">
        <v>0</v>
      </c>
      <c r="E79" s="669">
        <v>1030604.538072</v>
      </c>
      <c r="F79" s="670"/>
      <c r="G79" s="679">
        <v>1.5855454431876923</v>
      </c>
      <c r="H79" s="679"/>
    </row>
    <row r="80" spans="1:8" ht="28.5" customHeight="1">
      <c r="A80" s="674">
        <v>1</v>
      </c>
      <c r="B80" s="675" t="s">
        <v>86</v>
      </c>
      <c r="C80" s="676">
        <v>92000</v>
      </c>
      <c r="D80" s="676"/>
      <c r="E80" s="677">
        <v>86677.996322000006</v>
      </c>
      <c r="F80" s="678"/>
      <c r="G80" s="679">
        <v>0.9421521339347827</v>
      </c>
      <c r="H80" s="679"/>
    </row>
    <row r="81" spans="1:8" ht="28.5" customHeight="1">
      <c r="A81" s="674">
        <v>2</v>
      </c>
      <c r="B81" s="675" t="s">
        <v>87</v>
      </c>
      <c r="C81" s="676">
        <v>7000</v>
      </c>
      <c r="D81" s="676"/>
      <c r="E81" s="677">
        <v>54633.56336</v>
      </c>
      <c r="F81" s="678"/>
      <c r="G81" s="679">
        <v>7.804794765714286</v>
      </c>
      <c r="H81" s="679"/>
    </row>
    <row r="82" spans="1:8" ht="28.5" customHeight="1">
      <c r="A82" s="674">
        <v>3</v>
      </c>
      <c r="B82" s="675" t="s">
        <v>88</v>
      </c>
      <c r="C82" s="676"/>
      <c r="D82" s="676"/>
      <c r="E82" s="677">
        <v>102.949206</v>
      </c>
      <c r="F82" s="678"/>
      <c r="G82" s="679"/>
      <c r="H82" s="679"/>
    </row>
    <row r="83" spans="1:8" ht="28.5" customHeight="1">
      <c r="A83" s="674">
        <v>4</v>
      </c>
      <c r="B83" s="675" t="s">
        <v>89</v>
      </c>
      <c r="C83" s="676">
        <v>9000</v>
      </c>
      <c r="D83" s="676"/>
      <c r="E83" s="677">
        <v>67271.239308999997</v>
      </c>
      <c r="F83" s="678"/>
      <c r="G83" s="679"/>
      <c r="H83" s="679"/>
    </row>
    <row r="84" spans="1:8" ht="28.5" customHeight="1">
      <c r="A84" s="674">
        <v>5</v>
      </c>
      <c r="B84" s="675" t="s">
        <v>90</v>
      </c>
      <c r="C84" s="676">
        <v>540000</v>
      </c>
      <c r="D84" s="676"/>
      <c r="E84" s="677">
        <v>812567.641512</v>
      </c>
      <c r="F84" s="678"/>
      <c r="G84" s="679">
        <v>1.5047548916888889</v>
      </c>
      <c r="H84" s="679"/>
    </row>
    <row r="85" spans="1:8" ht="28.5" customHeight="1">
      <c r="A85" s="674">
        <v>6</v>
      </c>
      <c r="B85" s="675" t="s">
        <v>227</v>
      </c>
      <c r="C85" s="676">
        <v>2000</v>
      </c>
      <c r="D85" s="676"/>
      <c r="E85" s="677"/>
      <c r="F85" s="678"/>
      <c r="G85" s="679"/>
      <c r="H85" s="679"/>
    </row>
    <row r="86" spans="1:8" ht="28.5" customHeight="1">
      <c r="A86" s="674">
        <v>7</v>
      </c>
      <c r="B86" s="675" t="s">
        <v>91</v>
      </c>
      <c r="C86" s="676"/>
      <c r="D86" s="676">
        <v>0</v>
      </c>
      <c r="E86" s="677">
        <v>9351.1483629999984</v>
      </c>
      <c r="F86" s="678"/>
      <c r="G86" s="679"/>
      <c r="H86" s="679"/>
    </row>
    <row r="87" spans="1:8" ht="28.5" customHeight="1">
      <c r="A87" s="661" t="s">
        <v>24</v>
      </c>
      <c r="B87" s="667" t="s">
        <v>92</v>
      </c>
      <c r="C87" s="668"/>
      <c r="D87" s="676">
        <v>0</v>
      </c>
      <c r="E87" s="669"/>
      <c r="F87" s="670">
        <v>0</v>
      </c>
      <c r="G87" s="679"/>
      <c r="H87" s="679"/>
    </row>
    <row r="88" spans="1:8" ht="28.5" customHeight="1">
      <c r="A88" s="661" t="s">
        <v>26</v>
      </c>
      <c r="B88" s="667" t="s">
        <v>1168</v>
      </c>
      <c r="C88" s="668"/>
      <c r="D88" s="676">
        <v>0</v>
      </c>
      <c r="E88" s="669">
        <v>13838.195029</v>
      </c>
      <c r="F88" s="670">
        <v>13838.195029</v>
      </c>
      <c r="G88" s="679"/>
      <c r="H88" s="679"/>
    </row>
    <row r="89" spans="1:8" ht="28.5" customHeight="1">
      <c r="A89" s="661" t="s">
        <v>10</v>
      </c>
      <c r="B89" s="667" t="s">
        <v>93</v>
      </c>
      <c r="C89" s="668"/>
      <c r="D89" s="676">
        <v>0</v>
      </c>
      <c r="E89" s="669"/>
      <c r="F89" s="670"/>
      <c r="G89" s="679"/>
      <c r="H89" s="679"/>
    </row>
    <row r="90" spans="1:8" ht="28.5" customHeight="1">
      <c r="A90" s="661" t="s">
        <v>39</v>
      </c>
      <c r="B90" s="667" t="s">
        <v>94</v>
      </c>
      <c r="C90" s="668"/>
      <c r="D90" s="676">
        <v>0</v>
      </c>
      <c r="E90" s="669">
        <v>355976.85295799997</v>
      </c>
      <c r="F90" s="670">
        <v>355976.85295799997</v>
      </c>
      <c r="G90" s="679"/>
      <c r="H90" s="679"/>
    </row>
    <row r="91" spans="1:8" s="672" customFormat="1" ht="28.5" customHeight="1">
      <c r="A91" s="661" t="s">
        <v>40</v>
      </c>
      <c r="B91" s="667" t="s">
        <v>95</v>
      </c>
      <c r="C91" s="668">
        <v>96000</v>
      </c>
      <c r="D91" s="668">
        <v>96000</v>
      </c>
      <c r="E91" s="669">
        <v>4794232.2558869999</v>
      </c>
      <c r="F91" s="670">
        <v>4794232.2558869999</v>
      </c>
      <c r="G91" s="671"/>
      <c r="H91" s="671"/>
    </row>
    <row r="92" spans="1:8" hidden="1">
      <c r="A92" s="689" t="s">
        <v>1693</v>
      </c>
    </row>
    <row r="93" spans="1:8" hidden="1">
      <c r="A93" s="688" t="s">
        <v>1878</v>
      </c>
    </row>
    <row r="94" spans="1:8" hidden="1">
      <c r="A94" s="688" t="s">
        <v>1879</v>
      </c>
    </row>
    <row r="95" spans="1:8" hidden="1">
      <c r="A95" s="688" t="s">
        <v>1880</v>
      </c>
    </row>
    <row r="96" spans="1:8" hidden="1">
      <c r="A96" s="688" t="s">
        <v>1881</v>
      </c>
    </row>
    <row r="97" spans="1:1" hidden="1">
      <c r="A97" s="688" t="s">
        <v>1882</v>
      </c>
    </row>
    <row r="98" spans="1:1" hidden="1"/>
    <row r="99" spans="1:1" hidden="1"/>
  </sheetData>
  <mergeCells count="12">
    <mergeCell ref="C50:C51"/>
    <mergeCell ref="D50:D51"/>
    <mergeCell ref="A7:A8"/>
    <mergeCell ref="B7:B8"/>
    <mergeCell ref="C7:D7"/>
    <mergeCell ref="E7:F7"/>
    <mergeCell ref="G1:H1"/>
    <mergeCell ref="G7:H7"/>
    <mergeCell ref="F5:H5"/>
    <mergeCell ref="A3:H3"/>
    <mergeCell ref="A2:H2"/>
    <mergeCell ref="A4:H4"/>
  </mergeCells>
  <pageMargins left="0.23622047244094499" right="0.45" top="0.74803149606299202" bottom="0.55000000000000004" header="0.31496062992126" footer="0.31496062992126"/>
  <pageSetup paperSize="9" scale="8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51"/>
  <sheetViews>
    <sheetView topLeftCell="A7" zoomScale="85" zoomScaleNormal="85" workbookViewId="0">
      <selection activeCell="O17" sqref="O17"/>
    </sheetView>
  </sheetViews>
  <sheetFormatPr defaultRowHeight="15.75"/>
  <cols>
    <col min="1" max="1" width="7.75" style="524" customWidth="1"/>
    <col min="2" max="2" width="49.625" style="524" customWidth="1"/>
    <col min="3" max="3" width="16.75" style="595" customWidth="1"/>
    <col min="4" max="4" width="16.75" style="574" customWidth="1"/>
    <col min="5" max="5" width="10.625" style="524" customWidth="1"/>
    <col min="6" max="16384" width="9" style="524"/>
  </cols>
  <sheetData>
    <row r="1" spans="1:5">
      <c r="C1" s="574"/>
      <c r="D1" s="1047" t="s">
        <v>121</v>
      </c>
      <c r="E1" s="1047"/>
    </row>
    <row r="2" spans="1:5" ht="9.75" customHeight="1">
      <c r="C2" s="574"/>
    </row>
    <row r="3" spans="1:5" ht="29.25" customHeight="1">
      <c r="A3" s="1061" t="s">
        <v>2400</v>
      </c>
      <c r="B3" s="1061"/>
      <c r="C3" s="1061"/>
      <c r="D3" s="1061"/>
      <c r="E3" s="1061"/>
    </row>
    <row r="4" spans="1:5" ht="19.5" customHeight="1">
      <c r="A4" s="1062" t="s">
        <v>2397</v>
      </c>
      <c r="B4" s="1062"/>
      <c r="C4" s="1062"/>
      <c r="D4" s="1062"/>
      <c r="E4" s="1062"/>
    </row>
    <row r="5" spans="1:5" ht="21.75" hidden="1" customHeight="1">
      <c r="A5" s="1064" t="s">
        <v>1636</v>
      </c>
      <c r="B5" s="1064"/>
      <c r="C5" s="1064"/>
    </row>
    <row r="6" spans="1:5" ht="18.75" customHeight="1">
      <c r="C6" s="574"/>
    </row>
    <row r="7" spans="1:5">
      <c r="D7" s="1063" t="s">
        <v>2</v>
      </c>
      <c r="E7" s="1063"/>
    </row>
    <row r="8" spans="1:5" ht="37.5" customHeight="1">
      <c r="A8" s="583" t="s">
        <v>3</v>
      </c>
      <c r="B8" s="583" t="s">
        <v>233</v>
      </c>
      <c r="C8" s="600" t="s">
        <v>4</v>
      </c>
      <c r="D8" s="600" t="s">
        <v>5</v>
      </c>
      <c r="E8" s="583" t="s">
        <v>52</v>
      </c>
    </row>
    <row r="9" spans="1:5" s="340" customFormat="1" ht="18" customHeight="1">
      <c r="A9" s="691" t="s">
        <v>9</v>
      </c>
      <c r="B9" s="691" t="s">
        <v>10</v>
      </c>
      <c r="C9" s="692">
        <v>1</v>
      </c>
      <c r="D9" s="692">
        <v>2</v>
      </c>
      <c r="E9" s="691" t="s">
        <v>122</v>
      </c>
    </row>
    <row r="10" spans="1:5" ht="25.5" customHeight="1">
      <c r="A10" s="583"/>
      <c r="B10" s="516" t="s">
        <v>28</v>
      </c>
      <c r="C10" s="589">
        <v>9520199</v>
      </c>
      <c r="D10" s="589">
        <v>14378594.285921</v>
      </c>
      <c r="E10" s="603">
        <v>1.5103249717701279</v>
      </c>
    </row>
    <row r="11" spans="1:5" ht="25.5" customHeight="1">
      <c r="A11" s="583" t="s">
        <v>9</v>
      </c>
      <c r="B11" s="516" t="s">
        <v>151</v>
      </c>
      <c r="C11" s="589">
        <v>7105288</v>
      </c>
      <c r="D11" s="589">
        <v>7680262.6973900003</v>
      </c>
      <c r="E11" s="603">
        <v>1.0809220818902767</v>
      </c>
    </row>
    <row r="12" spans="1:5" ht="25.5" customHeight="1">
      <c r="A12" s="583" t="s">
        <v>14</v>
      </c>
      <c r="B12" s="516" t="s">
        <v>30</v>
      </c>
      <c r="C12" s="589">
        <v>1394012</v>
      </c>
      <c r="D12" s="589">
        <v>1690050.6557900002</v>
      </c>
      <c r="E12" s="603">
        <v>1.2123644959942959</v>
      </c>
    </row>
    <row r="13" spans="1:5" ht="27" customHeight="1">
      <c r="A13" s="518">
        <v>1</v>
      </c>
      <c r="B13" s="503" t="s">
        <v>1955</v>
      </c>
      <c r="C13" s="590">
        <v>1175312</v>
      </c>
      <c r="D13" s="590">
        <v>1460707.5084950002</v>
      </c>
      <c r="E13" s="602">
        <v>1.2428253165925305</v>
      </c>
    </row>
    <row r="14" spans="1:5" ht="22.5" customHeight="1">
      <c r="A14" s="514"/>
      <c r="B14" s="521" t="s">
        <v>125</v>
      </c>
      <c r="C14" s="601"/>
      <c r="D14" s="601"/>
      <c r="E14" s="508"/>
    </row>
    <row r="15" spans="1:5" ht="22.5" customHeight="1">
      <c r="A15" s="518"/>
      <c r="B15" s="503" t="s">
        <v>1940</v>
      </c>
      <c r="C15" s="590">
        <v>416312</v>
      </c>
      <c r="D15" s="590">
        <v>650560.27074300032</v>
      </c>
      <c r="E15" s="602">
        <v>1.5626747985717451</v>
      </c>
    </row>
    <row r="16" spans="1:5" ht="22.5" customHeight="1">
      <c r="A16" s="518"/>
      <c r="B16" s="503" t="s">
        <v>1941</v>
      </c>
      <c r="C16" s="590">
        <v>719000</v>
      </c>
      <c r="D16" s="590">
        <v>763124.59850199998</v>
      </c>
      <c r="E16" s="602">
        <v>1.0613693998636995</v>
      </c>
    </row>
    <row r="17" spans="1:5" ht="22.5" customHeight="1">
      <c r="A17" s="518"/>
      <c r="B17" s="503" t="s">
        <v>1942</v>
      </c>
      <c r="C17" s="590">
        <v>40000</v>
      </c>
      <c r="D17" s="590">
        <v>47022.63925</v>
      </c>
      <c r="E17" s="602">
        <v>1.1755659812500001</v>
      </c>
    </row>
    <row r="18" spans="1:5" ht="32.25" customHeight="1">
      <c r="A18" s="518">
        <v>2</v>
      </c>
      <c r="B18" s="503" t="s">
        <v>1867</v>
      </c>
      <c r="C18" s="590">
        <v>72700</v>
      </c>
      <c r="D18" s="590">
        <v>63394.733024000001</v>
      </c>
      <c r="E18" s="602">
        <v>0.87200458079779919</v>
      </c>
    </row>
    <row r="19" spans="1:5" ht="40.5" customHeight="1">
      <c r="A19" s="518">
        <v>3</v>
      </c>
      <c r="B19" s="503" t="s">
        <v>2688</v>
      </c>
      <c r="C19" s="590"/>
      <c r="D19" s="590">
        <v>39153.347070999997</v>
      </c>
      <c r="E19" s="602"/>
    </row>
    <row r="20" spans="1:5" s="572" customFormat="1" ht="55.5" customHeight="1">
      <c r="A20" s="518">
        <v>4</v>
      </c>
      <c r="B20" s="503" t="s">
        <v>2241</v>
      </c>
      <c r="C20" s="590">
        <v>70000</v>
      </c>
      <c r="D20" s="590">
        <v>78909.06719999999</v>
      </c>
      <c r="E20" s="602">
        <v>1.1272723885714284</v>
      </c>
    </row>
    <row r="21" spans="1:5" ht="40.5" customHeight="1">
      <c r="A21" s="518">
        <v>5</v>
      </c>
      <c r="B21" s="503" t="s">
        <v>1868</v>
      </c>
      <c r="C21" s="590">
        <v>4000</v>
      </c>
      <c r="D21" s="590">
        <v>0</v>
      </c>
      <c r="E21" s="602">
        <v>0</v>
      </c>
    </row>
    <row r="22" spans="1:5" ht="59.25" customHeight="1">
      <c r="A22" s="518">
        <v>6</v>
      </c>
      <c r="B22" s="503" t="s">
        <v>2689</v>
      </c>
      <c r="C22" s="590">
        <v>3000</v>
      </c>
      <c r="D22" s="590">
        <v>0</v>
      </c>
      <c r="E22" s="602">
        <v>0</v>
      </c>
    </row>
    <row r="23" spans="1:5" ht="59.25" customHeight="1">
      <c r="A23" s="518">
        <v>7</v>
      </c>
      <c r="B23" s="503" t="s">
        <v>2180</v>
      </c>
      <c r="C23" s="590">
        <v>49000</v>
      </c>
      <c r="D23" s="590">
        <v>29376</v>
      </c>
      <c r="E23" s="602">
        <v>0.59951020408163269</v>
      </c>
    </row>
    <row r="24" spans="1:5" s="571" customFormat="1">
      <c r="A24" s="514"/>
      <c r="B24" s="521" t="s">
        <v>2181</v>
      </c>
      <c r="C24" s="601"/>
      <c r="D24" s="601"/>
      <c r="E24" s="1005"/>
    </row>
    <row r="25" spans="1:5" s="571" customFormat="1">
      <c r="A25" s="514"/>
      <c r="B25" s="521" t="s">
        <v>2182</v>
      </c>
      <c r="C25" s="601">
        <v>40000</v>
      </c>
      <c r="D25" s="601">
        <v>19376</v>
      </c>
      <c r="E25" s="1005"/>
    </row>
    <row r="26" spans="1:5" s="571" customFormat="1">
      <c r="A26" s="514"/>
      <c r="B26" s="521" t="s">
        <v>2184</v>
      </c>
      <c r="C26" s="601">
        <v>9000</v>
      </c>
      <c r="D26" s="601">
        <v>10000</v>
      </c>
      <c r="E26" s="1005"/>
    </row>
    <row r="27" spans="1:5" ht="34.5" customHeight="1">
      <c r="A27" s="518">
        <v>7</v>
      </c>
      <c r="B27" s="503" t="s">
        <v>1864</v>
      </c>
      <c r="C27" s="590">
        <v>20000</v>
      </c>
      <c r="D27" s="590">
        <v>18510</v>
      </c>
      <c r="E27" s="602">
        <v>0.92549999999999999</v>
      </c>
    </row>
    <row r="28" spans="1:5" s="572" customFormat="1" ht="24.75" customHeight="1">
      <c r="A28" s="583" t="s">
        <v>19</v>
      </c>
      <c r="B28" s="516" t="s">
        <v>31</v>
      </c>
      <c r="C28" s="589">
        <v>5443502</v>
      </c>
      <c r="D28" s="589">
        <v>5984583.8986</v>
      </c>
      <c r="E28" s="603">
        <v>1.0993995958116669</v>
      </c>
    </row>
    <row r="29" spans="1:5" s="572" customFormat="1" ht="22.5" customHeight="1">
      <c r="A29" s="518"/>
      <c r="B29" s="521" t="s">
        <v>126</v>
      </c>
      <c r="C29" s="590"/>
      <c r="D29" s="590"/>
      <c r="E29" s="573"/>
    </row>
    <row r="30" spans="1:5" s="572" customFormat="1" ht="22.5" customHeight="1">
      <c r="A30" s="518"/>
      <c r="B30" s="521" t="s">
        <v>1943</v>
      </c>
      <c r="C30" s="590">
        <v>2516176</v>
      </c>
      <c r="D30" s="590">
        <v>2582306.9710500007</v>
      </c>
      <c r="E30" s="602">
        <v>1.0262823312240483</v>
      </c>
    </row>
    <row r="31" spans="1:5" s="572" customFormat="1" ht="22.5" customHeight="1">
      <c r="A31" s="518"/>
      <c r="B31" s="521" t="s">
        <v>1944</v>
      </c>
      <c r="C31" s="590">
        <v>21883</v>
      </c>
      <c r="D31" s="590">
        <v>20753.310799999999</v>
      </c>
      <c r="E31" s="602">
        <v>0.94837594479733123</v>
      </c>
    </row>
    <row r="32" spans="1:5" s="572" customFormat="1" ht="22.5" customHeight="1">
      <c r="A32" s="518"/>
      <c r="B32" s="521" t="s">
        <v>1945</v>
      </c>
      <c r="C32" s="590">
        <v>75425</v>
      </c>
      <c r="D32" s="590">
        <v>107737.90868400001</v>
      </c>
      <c r="E32" s="602">
        <v>1.4284111194431555</v>
      </c>
    </row>
    <row r="33" spans="1:5" ht="40.5" customHeight="1">
      <c r="A33" s="583" t="s">
        <v>23</v>
      </c>
      <c r="B33" s="516" t="s">
        <v>32</v>
      </c>
      <c r="C33" s="589">
        <v>5176</v>
      </c>
      <c r="D33" s="589">
        <v>4628.143</v>
      </c>
      <c r="E33" s="603">
        <v>0.89415436630602785</v>
      </c>
    </row>
    <row r="34" spans="1:5" ht="24" customHeight="1">
      <c r="A34" s="583" t="s">
        <v>24</v>
      </c>
      <c r="B34" s="516" t="s">
        <v>1626</v>
      </c>
      <c r="C34" s="589">
        <v>1000</v>
      </c>
      <c r="D34" s="589">
        <v>1000</v>
      </c>
      <c r="E34" s="603">
        <v>1</v>
      </c>
    </row>
    <row r="35" spans="1:5" ht="24" customHeight="1">
      <c r="A35" s="583" t="s">
        <v>26</v>
      </c>
      <c r="B35" s="516" t="s">
        <v>34</v>
      </c>
      <c r="C35" s="589">
        <v>163111</v>
      </c>
      <c r="D35" s="589">
        <v>0</v>
      </c>
      <c r="E35" s="508"/>
    </row>
    <row r="36" spans="1:5" s="572" customFormat="1" ht="24" customHeight="1">
      <c r="A36" s="583" t="s">
        <v>128</v>
      </c>
      <c r="B36" s="516" t="s">
        <v>35</v>
      </c>
      <c r="C36" s="589">
        <v>98487</v>
      </c>
      <c r="D36" s="589">
        <v>0</v>
      </c>
      <c r="E36" s="573"/>
    </row>
    <row r="37" spans="1:5" s="571" customFormat="1" ht="31.5">
      <c r="A37" s="583" t="s">
        <v>10</v>
      </c>
      <c r="B37" s="516" t="s">
        <v>1946</v>
      </c>
      <c r="C37" s="589">
        <v>2245948</v>
      </c>
      <c r="D37" s="589">
        <v>2351561.2179339998</v>
      </c>
      <c r="E37" s="603">
        <v>1.0470238927766804</v>
      </c>
    </row>
    <row r="38" spans="1:5" s="571" customFormat="1" ht="26.25" customHeight="1">
      <c r="A38" s="583" t="s">
        <v>14</v>
      </c>
      <c r="B38" s="516" t="s">
        <v>2392</v>
      </c>
      <c r="C38" s="589">
        <v>749151</v>
      </c>
      <c r="D38" s="589">
        <v>778993.66618199996</v>
      </c>
      <c r="E38" s="603">
        <v>1.0398353151527528</v>
      </c>
    </row>
    <row r="39" spans="1:5" s="572" customFormat="1" ht="24" customHeight="1">
      <c r="A39" s="518">
        <v>1</v>
      </c>
      <c r="B39" s="503" t="s">
        <v>1950</v>
      </c>
      <c r="C39" s="590">
        <v>228492</v>
      </c>
      <c r="D39" s="1012">
        <v>257636.44304600003</v>
      </c>
      <c r="E39" s="602">
        <v>1.1275512623899306</v>
      </c>
    </row>
    <row r="40" spans="1:5" s="572" customFormat="1" ht="24" customHeight="1">
      <c r="A40" s="514">
        <v>2</v>
      </c>
      <c r="B40" s="503" t="s">
        <v>1953</v>
      </c>
      <c r="C40" s="590">
        <v>123693</v>
      </c>
      <c r="D40" s="1012">
        <v>177066.01538600001</v>
      </c>
      <c r="E40" s="602">
        <v>1.4314958436289849</v>
      </c>
    </row>
    <row r="41" spans="1:5" s="572" customFormat="1" ht="40.5" customHeight="1">
      <c r="A41" s="514">
        <v>3</v>
      </c>
      <c r="B41" s="503" t="s">
        <v>2193</v>
      </c>
      <c r="C41" s="590">
        <v>396966</v>
      </c>
      <c r="D41" s="1012">
        <v>344291.20775</v>
      </c>
      <c r="E41" s="602">
        <v>0.86730653947693259</v>
      </c>
    </row>
    <row r="42" spans="1:5" ht="24" customHeight="1">
      <c r="A42" s="583" t="s">
        <v>19</v>
      </c>
      <c r="B42" s="516" t="s">
        <v>1947</v>
      </c>
      <c r="C42" s="589">
        <v>1392616</v>
      </c>
      <c r="D42" s="589">
        <v>1474522.94</v>
      </c>
      <c r="E42" s="603">
        <v>1.0588151651280755</v>
      </c>
    </row>
    <row r="43" spans="1:5" ht="19.5" customHeight="1">
      <c r="A43" s="518">
        <v>1</v>
      </c>
      <c r="B43" s="503" t="s">
        <v>182</v>
      </c>
      <c r="C43" s="590">
        <v>409916</v>
      </c>
      <c r="D43" s="590">
        <v>295857.17</v>
      </c>
      <c r="E43" s="602">
        <v>0.72175072453868594</v>
      </c>
    </row>
    <row r="44" spans="1:5" ht="21" customHeight="1">
      <c r="A44" s="518">
        <v>2</v>
      </c>
      <c r="B44" s="503" t="s">
        <v>183</v>
      </c>
      <c r="C44" s="590">
        <v>982700</v>
      </c>
      <c r="D44" s="590">
        <v>1178665.77</v>
      </c>
      <c r="E44" s="602">
        <v>1.1994156609341611</v>
      </c>
    </row>
    <row r="45" spans="1:5" ht="39.75" customHeight="1">
      <c r="A45" s="583" t="s">
        <v>23</v>
      </c>
      <c r="B45" s="516" t="s">
        <v>1948</v>
      </c>
      <c r="C45" s="589">
        <v>104181</v>
      </c>
      <c r="D45" s="589">
        <v>98044.611751999997</v>
      </c>
      <c r="E45" s="603">
        <v>0.94109877762739846</v>
      </c>
    </row>
    <row r="46" spans="1:5" ht="18.75" customHeight="1">
      <c r="A46" s="518">
        <v>1</v>
      </c>
      <c r="B46" s="503" t="s">
        <v>1949</v>
      </c>
      <c r="C46" s="590">
        <v>0</v>
      </c>
      <c r="D46" s="590">
        <v>0</v>
      </c>
      <c r="E46" s="602"/>
    </row>
    <row r="47" spans="1:5" ht="20.25" customHeight="1">
      <c r="A47" s="518">
        <v>2</v>
      </c>
      <c r="B47" s="503" t="s">
        <v>183</v>
      </c>
      <c r="C47" s="590">
        <v>104181</v>
      </c>
      <c r="D47" s="590">
        <v>98044.611751999997</v>
      </c>
      <c r="E47" s="602">
        <v>0.94109877762739846</v>
      </c>
    </row>
    <row r="48" spans="1:5" ht="31.5">
      <c r="A48" s="186" t="s">
        <v>39</v>
      </c>
      <c r="B48" s="535" t="s">
        <v>1954</v>
      </c>
      <c r="C48" s="582">
        <v>168963</v>
      </c>
      <c r="D48" s="589">
        <v>0</v>
      </c>
      <c r="E48" s="603">
        <v>0</v>
      </c>
    </row>
    <row r="49" spans="1:5" ht="24" customHeight="1">
      <c r="A49" s="583" t="s">
        <v>40</v>
      </c>
      <c r="B49" s="516" t="s">
        <v>129</v>
      </c>
      <c r="C49" s="589"/>
      <c r="D49" s="589">
        <v>4005003.590388</v>
      </c>
      <c r="E49" s="508"/>
    </row>
    <row r="50" spans="1:5" ht="24" customHeight="1">
      <c r="A50" s="583" t="s">
        <v>44</v>
      </c>
      <c r="B50" s="516" t="s">
        <v>1173</v>
      </c>
      <c r="C50" s="589"/>
      <c r="D50" s="589">
        <v>341766.78020899999</v>
      </c>
      <c r="E50" s="508"/>
    </row>
    <row r="51" spans="1:5">
      <c r="A51" s="599"/>
    </row>
  </sheetData>
  <mergeCells count="5">
    <mergeCell ref="A3:E3"/>
    <mergeCell ref="A4:E4"/>
    <mergeCell ref="D1:E1"/>
    <mergeCell ref="D7:E7"/>
    <mergeCell ref="A5:C5"/>
  </mergeCells>
  <pageMargins left="0.44" right="0.196850393700787" top="0.60433070899999997" bottom="0.44685039399999998" header="0.31496062992126" footer="0.196850393700787"/>
  <pageSetup paperSize="9" scale="95"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60"/>
  <sheetViews>
    <sheetView zoomScale="85" zoomScaleNormal="85" workbookViewId="0">
      <selection activeCell="J11" sqref="J11"/>
    </sheetView>
  </sheetViews>
  <sheetFormatPr defaultRowHeight="15.75"/>
  <cols>
    <col min="1" max="1" width="8" style="330" customWidth="1"/>
    <col min="2" max="2" width="38.25" style="330" customWidth="1"/>
    <col min="3" max="4" width="15" style="526" customWidth="1"/>
    <col min="5" max="5" width="15" style="605" customWidth="1"/>
    <col min="6" max="6" width="11.875" style="330" customWidth="1"/>
    <col min="7" max="16384" width="9" style="330"/>
  </cols>
  <sheetData>
    <row r="1" spans="1:6" ht="30" customHeight="1">
      <c r="D1" s="1065" t="s">
        <v>130</v>
      </c>
      <c r="E1" s="1065"/>
      <c r="F1" s="1065"/>
    </row>
    <row r="2" spans="1:6" ht="27.75" customHeight="1">
      <c r="A2" s="1067" t="s">
        <v>2401</v>
      </c>
      <c r="B2" s="1067"/>
      <c r="C2" s="1067"/>
      <c r="D2" s="1067"/>
      <c r="E2" s="1067"/>
      <c r="F2" s="1067"/>
    </row>
    <row r="3" spans="1:6" ht="21" hidden="1" customHeight="1">
      <c r="A3" s="1071" t="s">
        <v>1636</v>
      </c>
      <c r="B3" s="1071"/>
      <c r="C3" s="1071"/>
      <c r="D3" s="1071"/>
      <c r="E3" s="1071"/>
      <c r="F3" s="1071"/>
    </row>
    <row r="4" spans="1:6" ht="27" customHeight="1">
      <c r="A4" s="1068" t="s">
        <v>2397</v>
      </c>
      <c r="B4" s="1068"/>
      <c r="C4" s="1068"/>
      <c r="D4" s="1068"/>
      <c r="E4" s="1068"/>
      <c r="F4" s="1068"/>
    </row>
    <row r="5" spans="1:6" ht="22.5" customHeight="1">
      <c r="E5" s="1066" t="s">
        <v>2</v>
      </c>
      <c r="F5" s="1066"/>
    </row>
    <row r="6" spans="1:6" ht="24" customHeight="1">
      <c r="A6" s="1069" t="s">
        <v>3</v>
      </c>
      <c r="B6" s="1069" t="s">
        <v>51</v>
      </c>
      <c r="C6" s="1070" t="s">
        <v>4</v>
      </c>
      <c r="D6" s="1070" t="s">
        <v>5</v>
      </c>
      <c r="E6" s="1069" t="s">
        <v>6</v>
      </c>
      <c r="F6" s="1069"/>
    </row>
    <row r="7" spans="1:6" ht="31.5">
      <c r="A7" s="1069"/>
      <c r="B7" s="1069"/>
      <c r="C7" s="1070"/>
      <c r="D7" s="1070"/>
      <c r="E7" s="592" t="s">
        <v>7</v>
      </c>
      <c r="F7" s="537" t="s">
        <v>8</v>
      </c>
    </row>
    <row r="8" spans="1:6" s="331" customFormat="1" ht="27" customHeight="1">
      <c r="A8" s="565" t="s">
        <v>9</v>
      </c>
      <c r="B8" s="565" t="s">
        <v>10</v>
      </c>
      <c r="C8" s="606">
        <v>1</v>
      </c>
      <c r="D8" s="606">
        <v>2</v>
      </c>
      <c r="E8" s="604" t="s">
        <v>11</v>
      </c>
      <c r="F8" s="565" t="s">
        <v>12</v>
      </c>
    </row>
    <row r="9" spans="1:6" s="354" customFormat="1" ht="28.5" customHeight="1">
      <c r="A9" s="564"/>
      <c r="B9" s="350" t="s">
        <v>28</v>
      </c>
      <c r="C9" s="591">
        <v>8250769</v>
      </c>
      <c r="D9" s="591">
        <v>11393587.855285998</v>
      </c>
      <c r="E9" s="591">
        <v>346458.57557399943</v>
      </c>
      <c r="F9" s="356">
        <v>1.3809122343973026</v>
      </c>
    </row>
    <row r="10" spans="1:6" s="354" customFormat="1" ht="37.5" customHeight="1">
      <c r="A10" s="564" t="s">
        <v>9</v>
      </c>
      <c r="B10" s="350" t="s">
        <v>1869</v>
      </c>
      <c r="C10" s="591">
        <v>2779049</v>
      </c>
      <c r="D10" s="591">
        <v>3891403.255938</v>
      </c>
      <c r="E10" s="591">
        <v>1112354.255938</v>
      </c>
      <c r="F10" s="356">
        <v>1.4002643551581855</v>
      </c>
    </row>
    <row r="11" spans="1:6" s="354" customFormat="1" ht="36.75" customHeight="1">
      <c r="A11" s="564" t="s">
        <v>10</v>
      </c>
      <c r="B11" s="350" t="s">
        <v>1870</v>
      </c>
      <c r="C11" s="591">
        <v>5471720</v>
      </c>
      <c r="D11" s="591">
        <v>4705824.3196359994</v>
      </c>
      <c r="E11" s="591">
        <v>-765895.68036400061</v>
      </c>
      <c r="F11" s="356">
        <v>0.8600265217584232</v>
      </c>
    </row>
    <row r="12" spans="1:6" s="354" customFormat="1" ht="36.75" customHeight="1">
      <c r="A12" s="564" t="s">
        <v>14</v>
      </c>
      <c r="B12" s="350" t="s">
        <v>30</v>
      </c>
      <c r="C12" s="591">
        <v>933329</v>
      </c>
      <c r="D12" s="591">
        <v>734179.45652000001</v>
      </c>
      <c r="E12" s="591">
        <v>-199149.54347999999</v>
      </c>
      <c r="F12" s="356">
        <v>0.78662449845659999</v>
      </c>
    </row>
    <row r="13" spans="1:6" ht="30.75" customHeight="1">
      <c r="A13" s="353">
        <v>1</v>
      </c>
      <c r="B13" s="355" t="s">
        <v>1866</v>
      </c>
      <c r="C13" s="588">
        <v>714629</v>
      </c>
      <c r="D13" s="588">
        <v>599609.72742500005</v>
      </c>
      <c r="E13" s="588">
        <v>-115019.27257499995</v>
      </c>
      <c r="F13" s="333">
        <v>0.83905037078679989</v>
      </c>
    </row>
    <row r="14" spans="1:6" ht="27.75" hidden="1" customHeight="1">
      <c r="A14" s="353" t="s">
        <v>16</v>
      </c>
      <c r="B14" s="355" t="s">
        <v>123</v>
      </c>
      <c r="C14" s="588"/>
      <c r="D14" s="588"/>
      <c r="E14" s="588">
        <v>0</v>
      </c>
      <c r="F14" s="333" t="e">
        <v>#DIV/0!</v>
      </c>
    </row>
    <row r="15" spans="1:6" ht="27.75" hidden="1" customHeight="1">
      <c r="A15" s="353" t="s">
        <v>16</v>
      </c>
      <c r="B15" s="355" t="s">
        <v>127</v>
      </c>
      <c r="C15" s="588"/>
      <c r="D15" s="588"/>
      <c r="E15" s="588">
        <v>0</v>
      </c>
      <c r="F15" s="333" t="e">
        <v>#DIV/0!</v>
      </c>
    </row>
    <row r="16" spans="1:6" ht="27.75" hidden="1" customHeight="1">
      <c r="A16" s="353" t="s">
        <v>16</v>
      </c>
      <c r="B16" s="355" t="s">
        <v>1859</v>
      </c>
      <c r="C16" s="588"/>
      <c r="D16" s="588"/>
      <c r="E16" s="588">
        <v>0</v>
      </c>
      <c r="F16" s="333" t="e">
        <v>#DIV/0!</v>
      </c>
    </row>
    <row r="17" spans="1:6" ht="27.75" hidden="1" customHeight="1">
      <c r="A17" s="353" t="s">
        <v>16</v>
      </c>
      <c r="B17" s="355" t="s">
        <v>132</v>
      </c>
      <c r="C17" s="588"/>
      <c r="D17" s="588"/>
      <c r="E17" s="588">
        <v>0</v>
      </c>
      <c r="F17" s="333" t="e">
        <v>#DIV/0!</v>
      </c>
    </row>
    <row r="18" spans="1:6" ht="27.75" hidden="1" customHeight="1">
      <c r="A18" s="353" t="s">
        <v>16</v>
      </c>
      <c r="B18" s="355" t="s">
        <v>133</v>
      </c>
      <c r="C18" s="588"/>
      <c r="D18" s="588"/>
      <c r="E18" s="588">
        <v>0</v>
      </c>
      <c r="F18" s="333" t="e">
        <v>#DIV/0!</v>
      </c>
    </row>
    <row r="19" spans="1:6" ht="27.75" hidden="1" customHeight="1">
      <c r="A19" s="353" t="s">
        <v>16</v>
      </c>
      <c r="B19" s="355" t="s">
        <v>134</v>
      </c>
      <c r="C19" s="588"/>
      <c r="D19" s="588"/>
      <c r="E19" s="588">
        <v>0</v>
      </c>
      <c r="F19" s="333" t="e">
        <v>#DIV/0!</v>
      </c>
    </row>
    <row r="20" spans="1:6" ht="27.75" hidden="1" customHeight="1">
      <c r="A20" s="353" t="s">
        <v>16</v>
      </c>
      <c r="B20" s="355" t="s">
        <v>135</v>
      </c>
      <c r="C20" s="588"/>
      <c r="D20" s="588"/>
      <c r="E20" s="588">
        <v>0</v>
      </c>
      <c r="F20" s="333" t="e">
        <v>#DIV/0!</v>
      </c>
    </row>
    <row r="21" spans="1:6" ht="27.75" hidden="1" customHeight="1">
      <c r="A21" s="353" t="s">
        <v>16</v>
      </c>
      <c r="B21" s="355" t="s">
        <v>136</v>
      </c>
      <c r="C21" s="588"/>
      <c r="D21" s="588"/>
      <c r="E21" s="588">
        <v>0</v>
      </c>
      <c r="F21" s="333" t="e">
        <v>#DIV/0!</v>
      </c>
    </row>
    <row r="22" spans="1:6" ht="27.75" hidden="1" customHeight="1">
      <c r="A22" s="353" t="s">
        <v>16</v>
      </c>
      <c r="B22" s="355" t="s">
        <v>137</v>
      </c>
      <c r="C22" s="588"/>
      <c r="D22" s="588"/>
      <c r="E22" s="588">
        <v>0</v>
      </c>
      <c r="F22" s="333" t="e">
        <v>#DIV/0!</v>
      </c>
    </row>
    <row r="23" spans="1:6" ht="27.75" hidden="1" customHeight="1">
      <c r="A23" s="353" t="s">
        <v>16</v>
      </c>
      <c r="B23" s="355" t="s">
        <v>138</v>
      </c>
      <c r="C23" s="588"/>
      <c r="D23" s="588"/>
      <c r="E23" s="588">
        <v>0</v>
      </c>
      <c r="F23" s="333" t="e">
        <v>#DIV/0!</v>
      </c>
    </row>
    <row r="24" spans="1:6" ht="39.75" hidden="1" customHeight="1">
      <c r="A24" s="353" t="s">
        <v>16</v>
      </c>
      <c r="B24" s="355" t="s">
        <v>139</v>
      </c>
      <c r="C24" s="588"/>
      <c r="D24" s="588"/>
      <c r="E24" s="588">
        <v>0</v>
      </c>
      <c r="F24" s="333" t="e">
        <v>#DIV/0!</v>
      </c>
    </row>
    <row r="25" spans="1:6" ht="27.75" hidden="1" customHeight="1">
      <c r="A25" s="353" t="s">
        <v>16</v>
      </c>
      <c r="B25" s="355" t="s">
        <v>140</v>
      </c>
      <c r="C25" s="588"/>
      <c r="D25" s="588"/>
      <c r="E25" s="588">
        <v>0</v>
      </c>
      <c r="F25" s="333" t="e">
        <v>#DIV/0!</v>
      </c>
    </row>
    <row r="26" spans="1:6" ht="27.75" hidden="1" customHeight="1">
      <c r="A26" s="353" t="s">
        <v>16</v>
      </c>
      <c r="B26" s="355" t="s">
        <v>141</v>
      </c>
      <c r="C26" s="588"/>
      <c r="D26" s="588"/>
      <c r="E26" s="588">
        <v>0</v>
      </c>
      <c r="F26" s="333" t="e">
        <v>#DIV/0!</v>
      </c>
    </row>
    <row r="27" spans="1:6" ht="37.5" customHeight="1">
      <c r="A27" s="353">
        <v>2</v>
      </c>
      <c r="B27" s="355" t="s">
        <v>1867</v>
      </c>
      <c r="C27" s="588">
        <v>72700</v>
      </c>
      <c r="D27" s="588">
        <v>63394.733024000001</v>
      </c>
      <c r="E27" s="588">
        <v>-9305.266975999999</v>
      </c>
      <c r="F27" s="333">
        <v>0.87200458079779919</v>
      </c>
    </row>
    <row r="28" spans="1:6" ht="37.5" customHeight="1">
      <c r="A28" s="353">
        <v>3</v>
      </c>
      <c r="B28" s="355" t="s">
        <v>2688</v>
      </c>
      <c r="C28" s="588">
        <v>0</v>
      </c>
      <c r="D28" s="588">
        <v>39153.347070999997</v>
      </c>
      <c r="E28" s="588">
        <v>39153.347070999997</v>
      </c>
      <c r="F28" s="333"/>
    </row>
    <row r="29" spans="1:6" ht="53.25" customHeight="1">
      <c r="A29" s="353">
        <v>4</v>
      </c>
      <c r="B29" s="355" t="s">
        <v>2241</v>
      </c>
      <c r="C29" s="588">
        <v>70000</v>
      </c>
      <c r="D29" s="588">
        <v>0</v>
      </c>
      <c r="E29" s="588">
        <v>-70000</v>
      </c>
      <c r="F29" s="333">
        <v>0</v>
      </c>
    </row>
    <row r="30" spans="1:6" ht="63.75" customHeight="1">
      <c r="A30" s="353">
        <v>5</v>
      </c>
      <c r="B30" s="355" t="s">
        <v>1868</v>
      </c>
      <c r="C30" s="588">
        <v>4000</v>
      </c>
      <c r="D30" s="588">
        <v>0</v>
      </c>
      <c r="E30" s="588">
        <v>-4000</v>
      </c>
      <c r="F30" s="333">
        <v>0</v>
      </c>
    </row>
    <row r="31" spans="1:6" ht="54" customHeight="1">
      <c r="A31" s="353">
        <v>6</v>
      </c>
      <c r="B31" s="355" t="s">
        <v>2689</v>
      </c>
      <c r="C31" s="588">
        <v>3000</v>
      </c>
      <c r="D31" s="588">
        <v>0</v>
      </c>
      <c r="E31" s="588">
        <v>-3000</v>
      </c>
      <c r="F31" s="333">
        <v>0</v>
      </c>
    </row>
    <row r="32" spans="1:6" ht="79.5" customHeight="1">
      <c r="A32" s="353">
        <v>7</v>
      </c>
      <c r="B32" s="355" t="s">
        <v>2180</v>
      </c>
      <c r="C32" s="588">
        <v>49000</v>
      </c>
      <c r="D32" s="588">
        <v>29376</v>
      </c>
      <c r="E32" s="588">
        <v>-19624</v>
      </c>
      <c r="F32" s="333">
        <v>0.59951020408163269</v>
      </c>
    </row>
    <row r="33" spans="1:6" s="1009" customFormat="1">
      <c r="A33" s="360"/>
      <c r="B33" s="1006" t="s">
        <v>2181</v>
      </c>
      <c r="C33" s="1007"/>
      <c r="D33" s="1007"/>
      <c r="E33" s="1007"/>
      <c r="F33" s="1008"/>
    </row>
    <row r="34" spans="1:6" s="1009" customFormat="1" ht="31.5">
      <c r="A34" s="360"/>
      <c r="B34" s="1006" t="s">
        <v>2182</v>
      </c>
      <c r="C34" s="1007">
        <v>40000</v>
      </c>
      <c r="D34" s="1007">
        <v>19376</v>
      </c>
      <c r="E34" s="1007"/>
      <c r="F34" s="1008"/>
    </row>
    <row r="35" spans="1:6" s="1009" customFormat="1" ht="31.5">
      <c r="A35" s="360"/>
      <c r="B35" s="1006" t="s">
        <v>2184</v>
      </c>
      <c r="C35" s="1007">
        <v>9000</v>
      </c>
      <c r="D35" s="1007">
        <v>10000</v>
      </c>
      <c r="E35" s="1007"/>
      <c r="F35" s="1008"/>
    </row>
    <row r="36" spans="1:6" ht="23.25" customHeight="1">
      <c r="A36" s="353">
        <v>8</v>
      </c>
      <c r="B36" s="355" t="s">
        <v>1864</v>
      </c>
      <c r="C36" s="588">
        <v>20000</v>
      </c>
      <c r="D36" s="588">
        <v>2645.6489999999999</v>
      </c>
      <c r="E36" s="588">
        <v>-17354.350999999999</v>
      </c>
      <c r="F36" s="333">
        <v>0.13228245</v>
      </c>
    </row>
    <row r="37" spans="1:6" s="354" customFormat="1" ht="33.75" customHeight="1">
      <c r="A37" s="564" t="s">
        <v>19</v>
      </c>
      <c r="B37" s="350" t="s">
        <v>31</v>
      </c>
      <c r="C37" s="591">
        <v>2102257</v>
      </c>
      <c r="D37" s="578">
        <v>2019613.2116040001</v>
      </c>
      <c r="E37" s="591">
        <v>-82643.788395999931</v>
      </c>
      <c r="F37" s="356">
        <v>0.9606880660185696</v>
      </c>
    </row>
    <row r="38" spans="1:6" ht="29.25" customHeight="1">
      <c r="A38" s="353">
        <v>1</v>
      </c>
      <c r="B38" s="355" t="s">
        <v>138</v>
      </c>
      <c r="C38" s="594">
        <v>292131</v>
      </c>
      <c r="D38" s="576">
        <v>266043.65977799997</v>
      </c>
      <c r="E38" s="588">
        <v>-26087.340222000028</v>
      </c>
      <c r="F38" s="333">
        <v>0.91069985649588703</v>
      </c>
    </row>
    <row r="39" spans="1:6" ht="30.75" customHeight="1">
      <c r="A39" s="353">
        <v>2</v>
      </c>
      <c r="B39" s="355" t="s">
        <v>137</v>
      </c>
      <c r="C39" s="588">
        <v>19665</v>
      </c>
      <c r="D39" s="588">
        <v>34218.661441999997</v>
      </c>
      <c r="E39" s="588">
        <v>14553.661441999997</v>
      </c>
      <c r="F39" s="333">
        <v>1.7400794020849224</v>
      </c>
    </row>
    <row r="40" spans="1:6" ht="30.75" customHeight="1">
      <c r="A40" s="353">
        <v>3</v>
      </c>
      <c r="B40" s="355" t="s">
        <v>123</v>
      </c>
      <c r="C40" s="588">
        <v>574777</v>
      </c>
      <c r="D40" s="588">
        <v>447418.57855600002</v>
      </c>
      <c r="E40" s="588">
        <v>-127358.42144399998</v>
      </c>
      <c r="F40" s="333">
        <v>0.77842115908604559</v>
      </c>
    </row>
    <row r="41" spans="1:6" ht="30.75" customHeight="1">
      <c r="A41" s="353">
        <v>4</v>
      </c>
      <c r="B41" s="355" t="s">
        <v>133</v>
      </c>
      <c r="C41" s="588">
        <v>520730</v>
      </c>
      <c r="D41" s="588">
        <v>585639.78389600001</v>
      </c>
      <c r="E41" s="588">
        <v>64909.783896000008</v>
      </c>
      <c r="F41" s="333">
        <v>1.1246515159410828</v>
      </c>
    </row>
    <row r="42" spans="1:6" ht="30.75" customHeight="1">
      <c r="A42" s="353">
        <v>5</v>
      </c>
      <c r="B42" s="355" t="s">
        <v>124</v>
      </c>
      <c r="C42" s="588">
        <v>21883</v>
      </c>
      <c r="D42" s="588">
        <v>20753.310799999999</v>
      </c>
      <c r="E42" s="588">
        <v>-1129.6892000000007</v>
      </c>
      <c r="F42" s="333">
        <v>0.94837594479733123</v>
      </c>
    </row>
    <row r="43" spans="1:6" ht="30.75" customHeight="1">
      <c r="A43" s="353">
        <v>6</v>
      </c>
      <c r="B43" s="355" t="s">
        <v>134</v>
      </c>
      <c r="C43" s="588">
        <v>80432</v>
      </c>
      <c r="D43" s="588">
        <v>66537.949800999995</v>
      </c>
      <c r="E43" s="588">
        <v>-13894.050199000005</v>
      </c>
      <c r="F43" s="333">
        <v>0.82725718372040968</v>
      </c>
    </row>
    <row r="44" spans="1:6" ht="30.75" customHeight="1">
      <c r="A44" s="353">
        <v>7</v>
      </c>
      <c r="B44" s="355" t="s">
        <v>1957</v>
      </c>
      <c r="C44" s="588">
        <v>26118</v>
      </c>
      <c r="D44" s="588">
        <v>28189.587336000001</v>
      </c>
      <c r="E44" s="588">
        <v>2071.5873360000005</v>
      </c>
      <c r="F44" s="333">
        <v>1.0793164612910637</v>
      </c>
    </row>
    <row r="45" spans="1:6" ht="30.75" customHeight="1">
      <c r="A45" s="353">
        <v>8</v>
      </c>
      <c r="B45" s="355" t="s">
        <v>136</v>
      </c>
      <c r="C45" s="588">
        <v>3120</v>
      </c>
      <c r="D45" s="588">
        <v>3664.3179</v>
      </c>
      <c r="E45" s="588">
        <v>544.31790000000001</v>
      </c>
      <c r="F45" s="333">
        <v>1.1744608653846154</v>
      </c>
    </row>
    <row r="46" spans="1:6" ht="30.75" customHeight="1">
      <c r="A46" s="353">
        <v>9</v>
      </c>
      <c r="B46" s="355" t="s">
        <v>140</v>
      </c>
      <c r="C46" s="588">
        <v>60320</v>
      </c>
      <c r="D46" s="588">
        <v>35760.631294999999</v>
      </c>
      <c r="E46" s="588">
        <v>-24559.368705000001</v>
      </c>
      <c r="F46" s="333">
        <v>0.59284866205238729</v>
      </c>
    </row>
    <row r="47" spans="1:6" ht="34.5" customHeight="1">
      <c r="A47" s="353">
        <v>10</v>
      </c>
      <c r="B47" s="355" t="s">
        <v>1958</v>
      </c>
      <c r="C47" s="588">
        <v>344928</v>
      </c>
      <c r="D47" s="588">
        <v>376876.971081</v>
      </c>
      <c r="E47" s="588">
        <v>31948.971080999996</v>
      </c>
      <c r="F47" s="333">
        <v>1.0926250437221681</v>
      </c>
    </row>
    <row r="48" spans="1:6" ht="30.75" customHeight="1">
      <c r="A48" s="353">
        <v>11</v>
      </c>
      <c r="B48" s="355" t="s">
        <v>1859</v>
      </c>
      <c r="C48" s="588">
        <v>92179</v>
      </c>
      <c r="D48" s="576">
        <v>99811.724526999998</v>
      </c>
      <c r="E48" s="588">
        <v>7632.7245269999985</v>
      </c>
      <c r="F48" s="333">
        <v>1.082803290630187</v>
      </c>
    </row>
    <row r="49" spans="1:6" ht="30.75" customHeight="1">
      <c r="A49" s="353">
        <v>12</v>
      </c>
      <c r="B49" s="355" t="s">
        <v>132</v>
      </c>
      <c r="C49" s="588">
        <v>20674</v>
      </c>
      <c r="D49" s="588">
        <v>18627.036800000002</v>
      </c>
      <c r="E49" s="588">
        <v>-2046.9631999999983</v>
      </c>
      <c r="F49" s="333">
        <v>0.90098852665183327</v>
      </c>
    </row>
    <row r="50" spans="1:6" ht="30.75" customHeight="1">
      <c r="A50" s="353">
        <v>13</v>
      </c>
      <c r="B50" s="355" t="s">
        <v>142</v>
      </c>
      <c r="C50" s="588">
        <v>45300</v>
      </c>
      <c r="D50" s="588">
        <v>36072.012314</v>
      </c>
      <c r="E50" s="588">
        <v>-9227.9876860000004</v>
      </c>
      <c r="F50" s="333">
        <v>0.79629166256070638</v>
      </c>
    </row>
    <row r="51" spans="1:6" s="354" customFormat="1" ht="30.75" customHeight="1">
      <c r="A51" s="564" t="s">
        <v>23</v>
      </c>
      <c r="B51" s="350" t="s">
        <v>32</v>
      </c>
      <c r="C51" s="591">
        <v>5176</v>
      </c>
      <c r="D51" s="591">
        <v>4628.143</v>
      </c>
      <c r="E51" s="591">
        <v>-547.85699999999997</v>
      </c>
      <c r="F51" s="356">
        <v>0.89415436630602785</v>
      </c>
    </row>
    <row r="52" spans="1:6" s="354" customFormat="1" ht="30.75" customHeight="1">
      <c r="A52" s="564" t="s">
        <v>24</v>
      </c>
      <c r="B52" s="350" t="s">
        <v>1626</v>
      </c>
      <c r="C52" s="591">
        <v>1000</v>
      </c>
      <c r="D52" s="591">
        <v>1000</v>
      </c>
      <c r="E52" s="591">
        <v>0</v>
      </c>
      <c r="F52" s="356">
        <v>1</v>
      </c>
    </row>
    <row r="53" spans="1:6" s="354" customFormat="1" ht="36.75" customHeight="1">
      <c r="A53" s="564" t="s">
        <v>26</v>
      </c>
      <c r="B53" s="350" t="s">
        <v>34</v>
      </c>
      <c r="C53" s="591">
        <v>85523</v>
      </c>
      <c r="D53" s="591">
        <v>0</v>
      </c>
      <c r="E53" s="591">
        <v>-85523</v>
      </c>
      <c r="F53" s="356">
        <v>0</v>
      </c>
    </row>
    <row r="54" spans="1:6" s="354" customFormat="1" ht="39" customHeight="1">
      <c r="A54" s="564" t="s">
        <v>128</v>
      </c>
      <c r="B54" s="350" t="s">
        <v>35</v>
      </c>
      <c r="C54" s="591">
        <v>98487</v>
      </c>
      <c r="D54" s="591">
        <v>0</v>
      </c>
      <c r="E54" s="591">
        <v>-98487</v>
      </c>
      <c r="F54" s="356">
        <v>0</v>
      </c>
    </row>
    <row r="55" spans="1:6" s="354" customFormat="1" ht="30.75" customHeight="1">
      <c r="A55" s="564" t="s">
        <v>156</v>
      </c>
      <c r="B55" s="350" t="s">
        <v>1871</v>
      </c>
      <c r="C55" s="591">
        <v>2245948</v>
      </c>
      <c r="D55" s="591">
        <v>1644631.2787009999</v>
      </c>
      <c r="E55" s="591">
        <v>-601316.72129900008</v>
      </c>
      <c r="F55" s="356">
        <v>0.73226596461761351</v>
      </c>
    </row>
    <row r="56" spans="1:6" ht="41.25" customHeight="1">
      <c r="A56" s="353">
        <v>1</v>
      </c>
      <c r="B56" s="355" t="s">
        <v>2194</v>
      </c>
      <c r="C56" s="588">
        <v>749151</v>
      </c>
      <c r="D56" s="588">
        <v>73004.926949000001</v>
      </c>
      <c r="E56" s="588">
        <v>73004.926949000001</v>
      </c>
      <c r="F56" s="333"/>
    </row>
    <row r="57" spans="1:6" ht="39" customHeight="1">
      <c r="A57" s="353">
        <v>2</v>
      </c>
      <c r="B57" s="355" t="s">
        <v>1961</v>
      </c>
      <c r="C57" s="588">
        <v>1496797</v>
      </c>
      <c r="D57" s="588">
        <v>1571626.3517519999</v>
      </c>
      <c r="E57" s="588">
        <v>74829.35175199993</v>
      </c>
      <c r="F57" s="333">
        <v>1.0499929861911801</v>
      </c>
    </row>
    <row r="58" spans="1:6" s="354" customFormat="1" ht="37.5" customHeight="1">
      <c r="A58" s="564" t="s">
        <v>228</v>
      </c>
      <c r="B58" s="350" t="s">
        <v>1173</v>
      </c>
      <c r="C58" s="591"/>
      <c r="D58" s="591">
        <v>301772.229811</v>
      </c>
      <c r="E58" s="591">
        <v>301772.229811</v>
      </c>
      <c r="F58" s="356"/>
    </row>
    <row r="59" spans="1:6" s="354" customFormat="1" ht="39.75" customHeight="1">
      <c r="A59" s="564" t="s">
        <v>39</v>
      </c>
      <c r="B59" s="350" t="s">
        <v>129</v>
      </c>
      <c r="C59" s="591"/>
      <c r="D59" s="591">
        <v>2796360.2797119999</v>
      </c>
      <c r="E59" s="591">
        <v>2796360.2797119999</v>
      </c>
      <c r="F59" s="356"/>
    </row>
    <row r="60" spans="1:6">
      <c r="A60" s="359"/>
    </row>
  </sheetData>
  <mergeCells count="10">
    <mergeCell ref="D1:F1"/>
    <mergeCell ref="E5:F5"/>
    <mergeCell ref="A2:F2"/>
    <mergeCell ref="A4:F4"/>
    <mergeCell ref="A6:A7"/>
    <mergeCell ref="B6:B7"/>
    <mergeCell ref="C6:C7"/>
    <mergeCell ref="D6:D7"/>
    <mergeCell ref="E6:F6"/>
    <mergeCell ref="A3:F3"/>
  </mergeCells>
  <pageMargins left="0.39370078740157499" right="0.196850393700787" top="0.68" bottom="0.27" header="0.2" footer="0.92"/>
  <pageSetup paperSize="9" scale="9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N71"/>
  <sheetViews>
    <sheetView view="pageBreakPreview" topLeftCell="A4" zoomScale="70" zoomScaleNormal="70" zoomScaleSheetLayoutView="70" workbookViewId="0">
      <pane xSplit="2" ySplit="6" topLeftCell="C10" activePane="bottomRight" state="frozen"/>
      <selection activeCell="A4" sqref="A4"/>
      <selection pane="topRight" activeCell="C4" sqref="C4"/>
      <selection pane="bottomLeft" activeCell="A11" sqref="A11"/>
      <selection pane="bottomRight" activeCell="I17" sqref="I17"/>
    </sheetView>
  </sheetViews>
  <sheetFormatPr defaultRowHeight="15.75"/>
  <cols>
    <col min="1" max="1" width="4" style="181" customWidth="1"/>
    <col min="2" max="2" width="41.75" style="181" customWidth="1"/>
    <col min="3" max="3" width="14.25" style="797" customWidth="1"/>
    <col min="4" max="4" width="16.125" style="181" customWidth="1"/>
    <col min="5" max="5" width="15.75" style="181" customWidth="1"/>
    <col min="6" max="6" width="17.375" style="575" customWidth="1"/>
    <col min="7" max="7" width="15.625" style="575" customWidth="1"/>
    <col min="8" max="8" width="15.375" style="575" customWidth="1"/>
    <col min="9" max="9" width="11.25" style="181" customWidth="1"/>
    <col min="10" max="10" width="10.875" style="181" customWidth="1"/>
    <col min="11" max="11" width="8.125" style="181" customWidth="1"/>
    <col min="12" max="12" width="16.375" style="181" customWidth="1"/>
    <col min="13" max="13" width="12.625" style="181" customWidth="1"/>
    <col min="14" max="16384" width="9" style="181"/>
  </cols>
  <sheetData>
    <row r="1" spans="1:14">
      <c r="J1" s="550" t="s">
        <v>143</v>
      </c>
    </row>
    <row r="2" spans="1:14" ht="70.5" customHeight="1">
      <c r="A2" s="1072" t="s">
        <v>2402</v>
      </c>
      <c r="B2" s="1073"/>
      <c r="C2" s="1073"/>
      <c r="D2" s="1073"/>
      <c r="E2" s="1073"/>
      <c r="F2" s="1073"/>
      <c r="G2" s="1073"/>
      <c r="H2" s="1073"/>
      <c r="I2" s="1073"/>
      <c r="J2" s="1073"/>
      <c r="K2" s="1073"/>
    </row>
    <row r="3" spans="1:14" ht="26.25" hidden="1" customHeight="1">
      <c r="A3" s="1074" t="s">
        <v>1865</v>
      </c>
      <c r="B3" s="1074"/>
      <c r="C3" s="1074"/>
      <c r="D3" s="1074"/>
      <c r="E3" s="1074"/>
      <c r="F3" s="1074"/>
      <c r="G3" s="1074"/>
      <c r="H3" s="1074"/>
      <c r="I3" s="1074"/>
      <c r="J3" s="1074"/>
      <c r="K3" s="1074"/>
    </row>
    <row r="4" spans="1:14">
      <c r="A4" s="1074" t="s">
        <v>2397</v>
      </c>
      <c r="B4" s="1074"/>
      <c r="C4" s="1074"/>
      <c r="D4" s="1074"/>
      <c r="E4" s="1074"/>
      <c r="F4" s="1074"/>
      <c r="G4" s="1074"/>
      <c r="H4" s="1074"/>
      <c r="I4" s="1074"/>
      <c r="J4" s="1074"/>
      <c r="K4" s="1074"/>
    </row>
    <row r="5" spans="1:14">
      <c r="A5" s="760"/>
      <c r="B5" s="760"/>
      <c r="C5" s="760"/>
      <c r="D5" s="760"/>
      <c r="E5" s="760"/>
      <c r="F5" s="607"/>
      <c r="G5" s="607"/>
      <c r="H5" s="607"/>
      <c r="I5" s="760"/>
      <c r="J5" s="760"/>
      <c r="K5" s="760"/>
    </row>
    <row r="6" spans="1:14">
      <c r="G6" s="181"/>
      <c r="H6" s="181"/>
      <c r="J6" s="181" t="s">
        <v>2</v>
      </c>
      <c r="K6" s="551"/>
    </row>
    <row r="7" spans="1:14" ht="34.5" customHeight="1">
      <c r="A7" s="1075" t="s">
        <v>3</v>
      </c>
      <c r="B7" s="1075" t="s">
        <v>233</v>
      </c>
      <c r="C7" s="1076" t="s">
        <v>2462</v>
      </c>
      <c r="D7" s="1075" t="s">
        <v>144</v>
      </c>
      <c r="E7" s="1075"/>
      <c r="F7" s="1078" t="s">
        <v>5</v>
      </c>
      <c r="G7" s="1078" t="s">
        <v>144</v>
      </c>
      <c r="H7" s="1078"/>
      <c r="I7" s="1075" t="s">
        <v>52</v>
      </c>
      <c r="J7" s="1075"/>
      <c r="K7" s="1075"/>
      <c r="L7" s="538"/>
    </row>
    <row r="8" spans="1:14" ht="73.5" customHeight="1">
      <c r="A8" s="1075"/>
      <c r="B8" s="1075"/>
      <c r="C8" s="1077"/>
      <c r="D8" s="187" t="s">
        <v>234</v>
      </c>
      <c r="E8" s="187" t="s">
        <v>235</v>
      </c>
      <c r="F8" s="1078"/>
      <c r="G8" s="577" t="s">
        <v>234</v>
      </c>
      <c r="H8" s="577" t="s">
        <v>235</v>
      </c>
      <c r="I8" s="187" t="s">
        <v>145</v>
      </c>
      <c r="J8" s="187" t="s">
        <v>234</v>
      </c>
      <c r="K8" s="187" t="s">
        <v>235</v>
      </c>
      <c r="L8" s="1027"/>
      <c r="M8" s="538"/>
      <c r="N8" s="538"/>
    </row>
    <row r="9" spans="1:14" s="529" customFormat="1" ht="19.5" customHeight="1">
      <c r="A9" s="1028" t="s">
        <v>9</v>
      </c>
      <c r="B9" s="1028" t="s">
        <v>10</v>
      </c>
      <c r="C9" s="1028" t="s">
        <v>146</v>
      </c>
      <c r="D9" s="1028">
        <v>2</v>
      </c>
      <c r="E9" s="1028">
        <v>3</v>
      </c>
      <c r="F9" s="1029" t="s">
        <v>147</v>
      </c>
      <c r="G9" s="580">
        <v>5</v>
      </c>
      <c r="H9" s="580">
        <v>6</v>
      </c>
      <c r="I9" s="1028" t="s">
        <v>148</v>
      </c>
      <c r="J9" s="1028" t="s">
        <v>149</v>
      </c>
      <c r="K9" s="1028" t="s">
        <v>150</v>
      </c>
      <c r="L9" s="1027"/>
    </row>
    <row r="10" spans="1:14" s="507" customFormat="1" ht="31.5" customHeight="1">
      <c r="A10" s="187"/>
      <c r="B10" s="535" t="s">
        <v>28</v>
      </c>
      <c r="C10" s="578">
        <v>9520199</v>
      </c>
      <c r="D10" s="578">
        <v>5471720</v>
      </c>
      <c r="E10" s="578">
        <v>4048479</v>
      </c>
      <c r="F10" s="578">
        <v>14378594.285921</v>
      </c>
      <c r="G10" s="578">
        <v>7502184.609348</v>
      </c>
      <c r="H10" s="578">
        <v>6876409.6765729999</v>
      </c>
      <c r="I10" s="547">
        <v>1.5103249717701279</v>
      </c>
      <c r="J10" s="547">
        <v>1.3710834270298919</v>
      </c>
      <c r="K10" s="547">
        <v>1.6985168199150842</v>
      </c>
      <c r="L10" s="538"/>
    </row>
    <row r="11" spans="1:14" s="507" customFormat="1" ht="27.75" customHeight="1">
      <c r="A11" s="187" t="s">
        <v>9</v>
      </c>
      <c r="B11" s="535" t="s">
        <v>151</v>
      </c>
      <c r="C11" s="578">
        <v>7105288</v>
      </c>
      <c r="D11" s="578">
        <v>3225772</v>
      </c>
      <c r="E11" s="578">
        <v>3879516</v>
      </c>
      <c r="F11" s="578">
        <v>7680262.6973900003</v>
      </c>
      <c r="G11" s="578">
        <v>2759420.8211240005</v>
      </c>
      <c r="H11" s="578">
        <v>4920841.8762659999</v>
      </c>
      <c r="I11" s="547">
        <v>1.0809220818902767</v>
      </c>
      <c r="J11" s="547">
        <v>0.85542959053646705</v>
      </c>
      <c r="K11" s="547">
        <v>1.2684164406761049</v>
      </c>
    </row>
    <row r="12" spans="1:14" s="507" customFormat="1" ht="27.75" customHeight="1">
      <c r="A12" s="187" t="s">
        <v>14</v>
      </c>
      <c r="B12" s="535" t="s">
        <v>30</v>
      </c>
      <c r="C12" s="578">
        <v>1394012</v>
      </c>
      <c r="D12" s="578">
        <v>933329</v>
      </c>
      <c r="E12" s="578">
        <v>460683</v>
      </c>
      <c r="F12" s="578">
        <v>1690050.6557900002</v>
      </c>
      <c r="G12" s="578">
        <v>734179.45652000001</v>
      </c>
      <c r="H12" s="578">
        <v>955871.19927000022</v>
      </c>
      <c r="I12" s="547">
        <v>1.2123644959942959</v>
      </c>
      <c r="J12" s="547">
        <v>0.78662449845659999</v>
      </c>
      <c r="K12" s="547">
        <v>2.0749000924062755</v>
      </c>
    </row>
    <row r="13" spans="1:14" ht="25.5" customHeight="1">
      <c r="A13" s="199">
        <v>1</v>
      </c>
      <c r="B13" s="202" t="s">
        <v>1955</v>
      </c>
      <c r="C13" s="576">
        <v>1175312</v>
      </c>
      <c r="D13" s="576">
        <v>714629</v>
      </c>
      <c r="E13" s="576">
        <v>460683</v>
      </c>
      <c r="F13" s="576">
        <v>1460707.5084950002</v>
      </c>
      <c r="G13" s="576">
        <v>599609.72742500005</v>
      </c>
      <c r="H13" s="576">
        <v>861097.78107000014</v>
      </c>
      <c r="I13" s="548">
        <v>1.2428253165925305</v>
      </c>
      <c r="J13" s="548">
        <v>0.83905037078679989</v>
      </c>
      <c r="K13" s="548">
        <v>1.8691763774005121</v>
      </c>
    </row>
    <row r="14" spans="1:14" ht="25.5" customHeight="1">
      <c r="A14" s="199"/>
      <c r="B14" s="778" t="s">
        <v>1956</v>
      </c>
      <c r="C14" s="576">
        <v>0</v>
      </c>
      <c r="D14" s="576"/>
      <c r="E14" s="576"/>
      <c r="F14" s="576">
        <v>0</v>
      </c>
      <c r="G14" s="576"/>
      <c r="H14" s="576"/>
      <c r="I14" s="548"/>
      <c r="J14" s="548"/>
      <c r="K14" s="548"/>
    </row>
    <row r="15" spans="1:14" ht="25.5" customHeight="1">
      <c r="A15" s="199" t="s">
        <v>16</v>
      </c>
      <c r="B15" s="202" t="s">
        <v>1938</v>
      </c>
      <c r="C15" s="576">
        <v>0</v>
      </c>
      <c r="D15" s="576">
        <v>0</v>
      </c>
      <c r="E15" s="576">
        <v>0</v>
      </c>
      <c r="F15" s="576">
        <v>266269.43900000001</v>
      </c>
      <c r="G15" s="576">
        <v>132775.78</v>
      </c>
      <c r="H15" s="576">
        <v>133493.65900000001</v>
      </c>
      <c r="I15" s="548"/>
      <c r="J15" s="548"/>
      <c r="K15" s="548"/>
    </row>
    <row r="16" spans="1:14" ht="25.5" customHeight="1">
      <c r="A16" s="199" t="s">
        <v>16</v>
      </c>
      <c r="B16" s="202" t="s">
        <v>1939</v>
      </c>
      <c r="C16" s="576">
        <v>0</v>
      </c>
      <c r="D16" s="576">
        <v>0</v>
      </c>
      <c r="E16" s="576">
        <v>0</v>
      </c>
      <c r="F16" s="576">
        <v>8009.8019999999997</v>
      </c>
      <c r="G16" s="576">
        <v>8009.8019999999997</v>
      </c>
      <c r="H16" s="576"/>
      <c r="I16" s="548"/>
      <c r="J16" s="548"/>
      <c r="K16" s="548"/>
    </row>
    <row r="17" spans="1:11" s="529" customFormat="1" ht="25.5" customHeight="1">
      <c r="A17" s="528"/>
      <c r="B17" s="778" t="s">
        <v>125</v>
      </c>
      <c r="C17" s="576">
        <v>0</v>
      </c>
      <c r="D17" s="579"/>
      <c r="E17" s="579"/>
      <c r="F17" s="576">
        <v>0</v>
      </c>
      <c r="G17" s="579"/>
      <c r="H17" s="579"/>
      <c r="I17" s="548"/>
      <c r="J17" s="548"/>
      <c r="K17" s="548"/>
    </row>
    <row r="18" spans="1:11" ht="25.5" customHeight="1">
      <c r="A18" s="199"/>
      <c r="B18" s="202" t="s">
        <v>1940</v>
      </c>
      <c r="C18" s="576">
        <v>416312</v>
      </c>
      <c r="D18" s="576">
        <v>326129</v>
      </c>
      <c r="E18" s="576">
        <v>90183</v>
      </c>
      <c r="F18" s="576">
        <v>650560.27074300032</v>
      </c>
      <c r="G18" s="576">
        <v>375345.99346600007</v>
      </c>
      <c r="H18" s="576">
        <v>275214.27727700019</v>
      </c>
      <c r="I18" s="548">
        <v>1.5626747985717451</v>
      </c>
      <c r="J18" s="548">
        <v>1.1509126556240017</v>
      </c>
      <c r="K18" s="548">
        <v>3.0517312273599257</v>
      </c>
    </row>
    <row r="19" spans="1:11" ht="30" customHeight="1">
      <c r="A19" s="199"/>
      <c r="B19" s="202" t="s">
        <v>1941</v>
      </c>
      <c r="C19" s="576">
        <v>719000</v>
      </c>
      <c r="D19" s="576">
        <v>348500</v>
      </c>
      <c r="E19" s="576">
        <v>370500</v>
      </c>
      <c r="F19" s="576">
        <v>763124.59850199998</v>
      </c>
      <c r="G19" s="576">
        <v>192433.183709</v>
      </c>
      <c r="H19" s="576">
        <v>570691.41479299997</v>
      </c>
      <c r="I19" s="548">
        <v>1.0613693998636995</v>
      </c>
      <c r="J19" s="548">
        <v>0.552175563010043</v>
      </c>
      <c r="K19" s="548">
        <v>1.5403277052442645</v>
      </c>
    </row>
    <row r="20" spans="1:11" ht="32.25" customHeight="1">
      <c r="A20" s="199"/>
      <c r="B20" s="202" t="s">
        <v>1942</v>
      </c>
      <c r="C20" s="576">
        <v>40000</v>
      </c>
      <c r="D20" s="576">
        <v>40000</v>
      </c>
      <c r="E20" s="576">
        <v>0</v>
      </c>
      <c r="F20" s="576">
        <v>47022.63925</v>
      </c>
      <c r="G20" s="576">
        <v>31830.55025</v>
      </c>
      <c r="H20" s="576">
        <v>15192.089</v>
      </c>
      <c r="I20" s="548">
        <v>1.1755659812500001</v>
      </c>
      <c r="J20" s="548">
        <v>0.79576375624999995</v>
      </c>
      <c r="K20" s="548"/>
    </row>
    <row r="21" spans="1:11" ht="36" customHeight="1">
      <c r="A21" s="199">
        <v>2</v>
      </c>
      <c r="B21" s="202" t="s">
        <v>1867</v>
      </c>
      <c r="C21" s="576">
        <v>72700</v>
      </c>
      <c r="D21" s="576">
        <v>72700</v>
      </c>
      <c r="E21" s="576">
        <v>0</v>
      </c>
      <c r="F21" s="576">
        <v>63394.733024000001</v>
      </c>
      <c r="G21" s="576">
        <v>63394.733024000001</v>
      </c>
      <c r="H21" s="576"/>
      <c r="I21" s="548">
        <v>0.87200458079779919</v>
      </c>
      <c r="J21" s="548">
        <v>0.87200458079779919</v>
      </c>
      <c r="K21" s="548"/>
    </row>
    <row r="22" spans="1:11" ht="34.5" customHeight="1">
      <c r="A22" s="199">
        <v>3</v>
      </c>
      <c r="B22" s="202" t="s">
        <v>2688</v>
      </c>
      <c r="C22" s="576">
        <v>0</v>
      </c>
      <c r="D22" s="576"/>
      <c r="E22" s="576"/>
      <c r="F22" s="576">
        <v>39153.347070999997</v>
      </c>
      <c r="G22" s="576">
        <v>39153.347070999997</v>
      </c>
      <c r="H22" s="576"/>
      <c r="I22" s="548"/>
      <c r="J22" s="548"/>
      <c r="K22" s="548"/>
    </row>
    <row r="23" spans="1:11" ht="46.5" customHeight="1">
      <c r="A23" s="199">
        <v>4</v>
      </c>
      <c r="B23" s="202" t="s">
        <v>2241</v>
      </c>
      <c r="C23" s="576">
        <v>70000</v>
      </c>
      <c r="D23" s="576">
        <v>70000</v>
      </c>
      <c r="E23" s="576">
        <v>0</v>
      </c>
      <c r="F23" s="576">
        <v>78909.06719999999</v>
      </c>
      <c r="G23" s="576">
        <v>0</v>
      </c>
      <c r="H23" s="576">
        <v>78909.06719999999</v>
      </c>
      <c r="I23" s="548">
        <v>1.1272723885714284</v>
      </c>
      <c r="J23" s="548">
        <v>0</v>
      </c>
      <c r="K23" s="548"/>
    </row>
    <row r="24" spans="1:11" ht="62.25" customHeight="1">
      <c r="A24" s="199">
        <v>5</v>
      </c>
      <c r="B24" s="202" t="s">
        <v>1868</v>
      </c>
      <c r="C24" s="576">
        <v>4000</v>
      </c>
      <c r="D24" s="576">
        <v>4000</v>
      </c>
      <c r="E24" s="576">
        <v>0</v>
      </c>
      <c r="F24" s="576">
        <v>0</v>
      </c>
      <c r="G24" s="576">
        <v>0</v>
      </c>
      <c r="H24" s="576"/>
      <c r="I24" s="548">
        <v>0</v>
      </c>
      <c r="J24" s="548">
        <v>0</v>
      </c>
      <c r="K24" s="548"/>
    </row>
    <row r="25" spans="1:11" ht="64.5" customHeight="1">
      <c r="A25" s="199">
        <v>6</v>
      </c>
      <c r="B25" s="202" t="s">
        <v>2689</v>
      </c>
      <c r="C25" s="576">
        <v>3000</v>
      </c>
      <c r="D25" s="576">
        <v>3000</v>
      </c>
      <c r="E25" s="576">
        <v>0</v>
      </c>
      <c r="F25" s="576">
        <v>0</v>
      </c>
      <c r="G25" s="576">
        <v>0</v>
      </c>
      <c r="H25" s="576"/>
      <c r="I25" s="548">
        <v>0</v>
      </c>
      <c r="J25" s="548">
        <v>0</v>
      </c>
      <c r="K25" s="548"/>
    </row>
    <row r="26" spans="1:11" ht="64.5" customHeight="1">
      <c r="A26" s="199">
        <v>7</v>
      </c>
      <c r="B26" s="202" t="s">
        <v>2180</v>
      </c>
      <c r="C26" s="576">
        <v>49000</v>
      </c>
      <c r="D26" s="576">
        <v>49000</v>
      </c>
      <c r="E26" s="576"/>
      <c r="F26" s="576">
        <v>29376</v>
      </c>
      <c r="G26" s="576">
        <v>29376</v>
      </c>
      <c r="H26" s="576"/>
      <c r="I26" s="548">
        <v>0.59951020408163269</v>
      </c>
      <c r="J26" s="548">
        <v>0.59951020408163269</v>
      </c>
      <c r="K26" s="548"/>
    </row>
    <row r="27" spans="1:11">
      <c r="A27" s="199"/>
      <c r="B27" s="202" t="s">
        <v>2181</v>
      </c>
      <c r="C27" s="576"/>
      <c r="D27" s="576"/>
      <c r="E27" s="576"/>
      <c r="F27" s="576"/>
      <c r="G27" s="576"/>
      <c r="H27" s="576"/>
      <c r="I27" s="548"/>
      <c r="J27" s="548"/>
      <c r="K27" s="548"/>
    </row>
    <row r="28" spans="1:11">
      <c r="A28" s="199"/>
      <c r="B28" s="202" t="s">
        <v>2182</v>
      </c>
      <c r="C28" s="576">
        <v>40000</v>
      </c>
      <c r="D28" s="576">
        <v>40000</v>
      </c>
      <c r="E28" s="576"/>
      <c r="F28" s="576">
        <v>19376</v>
      </c>
      <c r="G28" s="576">
        <v>19376</v>
      </c>
      <c r="H28" s="576"/>
      <c r="I28" s="548"/>
      <c r="J28" s="548"/>
      <c r="K28" s="548"/>
    </row>
    <row r="29" spans="1:11" hidden="1">
      <c r="A29" s="199"/>
      <c r="B29" s="202" t="s">
        <v>2183</v>
      </c>
      <c r="C29" s="576">
        <v>0</v>
      </c>
      <c r="D29" s="576">
        <v>0</v>
      </c>
      <c r="E29" s="576"/>
      <c r="F29" s="576">
        <v>0</v>
      </c>
      <c r="G29" s="576"/>
      <c r="H29" s="576"/>
      <c r="I29" s="548"/>
      <c r="J29" s="548"/>
      <c r="K29" s="548"/>
    </row>
    <row r="30" spans="1:11" ht="31.5">
      <c r="A30" s="199"/>
      <c r="B30" s="202" t="s">
        <v>2184</v>
      </c>
      <c r="C30" s="576">
        <v>9000</v>
      </c>
      <c r="D30" s="576">
        <v>9000</v>
      </c>
      <c r="E30" s="576"/>
      <c r="F30" s="576">
        <v>10000</v>
      </c>
      <c r="G30" s="576">
        <v>10000</v>
      </c>
      <c r="H30" s="576"/>
      <c r="I30" s="548"/>
      <c r="J30" s="548"/>
      <c r="K30" s="548"/>
    </row>
    <row r="31" spans="1:11" ht="38.25" hidden="1" customHeight="1">
      <c r="A31" s="199"/>
      <c r="B31" s="1030" t="s">
        <v>2385</v>
      </c>
      <c r="C31" s="576">
        <v>0</v>
      </c>
      <c r="D31" s="576"/>
      <c r="E31" s="576"/>
      <c r="F31" s="576">
        <v>0</v>
      </c>
      <c r="G31" s="576"/>
      <c r="H31" s="576"/>
      <c r="I31" s="548"/>
      <c r="J31" s="548"/>
      <c r="K31" s="548"/>
    </row>
    <row r="32" spans="1:11" ht="27" customHeight="1">
      <c r="A32" s="199">
        <v>8</v>
      </c>
      <c r="B32" s="202" t="s">
        <v>1864</v>
      </c>
      <c r="C32" s="576">
        <v>20000</v>
      </c>
      <c r="D32" s="576">
        <v>20000</v>
      </c>
      <c r="E32" s="576"/>
      <c r="F32" s="576">
        <v>18510</v>
      </c>
      <c r="G32" s="576">
        <v>2645.6489999999999</v>
      </c>
      <c r="H32" s="576">
        <v>15864.351000000001</v>
      </c>
      <c r="I32" s="548">
        <v>0.92549999999999999</v>
      </c>
      <c r="J32" s="548">
        <v>0.13228245</v>
      </c>
      <c r="K32" s="548"/>
    </row>
    <row r="33" spans="1:11" s="507" customFormat="1" ht="31.5" customHeight="1">
      <c r="A33" s="187" t="s">
        <v>19</v>
      </c>
      <c r="B33" s="535" t="s">
        <v>31</v>
      </c>
      <c r="C33" s="578">
        <v>5443502</v>
      </c>
      <c r="D33" s="578">
        <v>2102257</v>
      </c>
      <c r="E33" s="578">
        <v>3341245</v>
      </c>
      <c r="F33" s="578">
        <v>5984583.8986</v>
      </c>
      <c r="G33" s="578">
        <v>2019613.2216040001</v>
      </c>
      <c r="H33" s="614">
        <v>3964970.6769959996</v>
      </c>
      <c r="I33" s="547">
        <v>1.0993995958116669</v>
      </c>
      <c r="J33" s="547">
        <v>0.96068807077536189</v>
      </c>
      <c r="K33" s="547">
        <v>1.1866746308624478</v>
      </c>
    </row>
    <row r="34" spans="1:11" ht="22.5" customHeight="1">
      <c r="A34" s="199"/>
      <c r="B34" s="778" t="s">
        <v>126</v>
      </c>
      <c r="C34" s="576">
        <v>0</v>
      </c>
      <c r="D34" s="576"/>
      <c r="E34" s="576"/>
      <c r="F34" s="576"/>
      <c r="G34" s="576"/>
      <c r="H34" s="632"/>
      <c r="I34" s="548"/>
      <c r="J34" s="548"/>
      <c r="K34" s="548"/>
    </row>
    <row r="35" spans="1:11" ht="30" customHeight="1">
      <c r="A35" s="199"/>
      <c r="B35" s="778" t="s">
        <v>1943</v>
      </c>
      <c r="C35" s="576">
        <v>2516176</v>
      </c>
      <c r="D35" s="576">
        <v>574777</v>
      </c>
      <c r="E35" s="576">
        <v>1941399</v>
      </c>
      <c r="F35" s="576">
        <v>2582306.9710500007</v>
      </c>
      <c r="G35" s="576">
        <v>447418.57855600002</v>
      </c>
      <c r="H35" s="632">
        <v>2134888.3924940005</v>
      </c>
      <c r="I35" s="548">
        <v>1.0262823312240483</v>
      </c>
      <c r="J35" s="548">
        <v>0.77842115908604559</v>
      </c>
      <c r="K35" s="548">
        <v>1.0996649284840472</v>
      </c>
    </row>
    <row r="36" spans="1:11" ht="30" customHeight="1">
      <c r="A36" s="199"/>
      <c r="B36" s="778" t="s">
        <v>1944</v>
      </c>
      <c r="C36" s="576">
        <v>21883</v>
      </c>
      <c r="D36" s="576">
        <v>21883</v>
      </c>
      <c r="E36" s="576">
        <v>0</v>
      </c>
      <c r="F36" s="576">
        <v>20753.310799999999</v>
      </c>
      <c r="G36" s="576">
        <v>20753.310799999999</v>
      </c>
      <c r="H36" s="576"/>
      <c r="I36" s="548">
        <v>0.94837594479733123</v>
      </c>
      <c r="J36" s="548">
        <v>0.94837594479733123</v>
      </c>
      <c r="K36" s="548"/>
    </row>
    <row r="37" spans="1:11" ht="30" customHeight="1">
      <c r="A37" s="199"/>
      <c r="B37" s="778" t="s">
        <v>1945</v>
      </c>
      <c r="C37" s="576">
        <v>75425</v>
      </c>
      <c r="D37" s="576">
        <v>19665</v>
      </c>
      <c r="E37" s="576">
        <v>55760</v>
      </c>
      <c r="F37" s="576">
        <v>107737.90868400001</v>
      </c>
      <c r="G37" s="576">
        <v>34218.661441999997</v>
      </c>
      <c r="H37" s="576">
        <v>73519.247242000012</v>
      </c>
      <c r="I37" s="548">
        <v>1.4284111194431555</v>
      </c>
      <c r="J37" s="548">
        <v>1.7400794020849224</v>
      </c>
      <c r="K37" s="548">
        <v>1.3184943909971307</v>
      </c>
    </row>
    <row r="38" spans="1:11" s="507" customFormat="1" ht="36.75" customHeight="1">
      <c r="A38" s="187" t="s">
        <v>23</v>
      </c>
      <c r="B38" s="535" t="s">
        <v>32</v>
      </c>
      <c r="C38" s="578">
        <v>5176</v>
      </c>
      <c r="D38" s="578">
        <v>5176</v>
      </c>
      <c r="E38" s="578"/>
      <c r="F38" s="578">
        <v>4628.143</v>
      </c>
      <c r="G38" s="578">
        <v>4628.143</v>
      </c>
      <c r="H38" s="578"/>
      <c r="I38" s="547">
        <v>0.89415436630602785</v>
      </c>
      <c r="J38" s="547">
        <v>0.89415436630602785</v>
      </c>
      <c r="K38" s="547"/>
    </row>
    <row r="39" spans="1:11" s="507" customFormat="1" ht="44.25" customHeight="1">
      <c r="A39" s="187" t="s">
        <v>24</v>
      </c>
      <c r="B39" s="535" t="s">
        <v>1626</v>
      </c>
      <c r="C39" s="578">
        <v>1000</v>
      </c>
      <c r="D39" s="578">
        <v>1000</v>
      </c>
      <c r="E39" s="578"/>
      <c r="F39" s="578">
        <v>1000</v>
      </c>
      <c r="G39" s="578">
        <v>1000</v>
      </c>
      <c r="H39" s="578"/>
      <c r="I39" s="547">
        <v>1</v>
      </c>
      <c r="J39" s="547">
        <v>1</v>
      </c>
      <c r="K39" s="547"/>
    </row>
    <row r="40" spans="1:11" s="507" customFormat="1" ht="34.5" customHeight="1">
      <c r="A40" s="187" t="s">
        <v>26</v>
      </c>
      <c r="B40" s="535" t="s">
        <v>34</v>
      </c>
      <c r="C40" s="578">
        <v>163111</v>
      </c>
      <c r="D40" s="578">
        <v>85523</v>
      </c>
      <c r="E40" s="578">
        <v>77588</v>
      </c>
      <c r="F40" s="578">
        <v>0</v>
      </c>
      <c r="G40" s="578"/>
      <c r="H40" s="578"/>
      <c r="I40" s="547">
        <v>0</v>
      </c>
      <c r="J40" s="547">
        <v>0</v>
      </c>
      <c r="K40" s="547">
        <v>0</v>
      </c>
    </row>
    <row r="41" spans="1:11" s="507" customFormat="1" ht="33" customHeight="1">
      <c r="A41" s="187" t="s">
        <v>128</v>
      </c>
      <c r="B41" s="535" t="s">
        <v>35</v>
      </c>
      <c r="C41" s="578">
        <v>98487</v>
      </c>
      <c r="D41" s="578">
        <v>98487</v>
      </c>
      <c r="E41" s="578"/>
      <c r="F41" s="578">
        <v>0</v>
      </c>
      <c r="G41" s="578"/>
      <c r="H41" s="578"/>
      <c r="I41" s="547">
        <v>0</v>
      </c>
      <c r="J41" s="547">
        <v>0</v>
      </c>
      <c r="K41" s="548"/>
    </row>
    <row r="42" spans="1:11" s="507" customFormat="1" ht="66" customHeight="1">
      <c r="A42" s="187" t="s">
        <v>10</v>
      </c>
      <c r="B42" s="535" t="s">
        <v>1946</v>
      </c>
      <c r="C42" s="578">
        <v>2245948</v>
      </c>
      <c r="D42" s="578">
        <v>2245948</v>
      </c>
      <c r="E42" s="578">
        <v>0</v>
      </c>
      <c r="F42" s="578">
        <v>2351561.2179340003</v>
      </c>
      <c r="G42" s="578">
        <v>1644631.2787009999</v>
      </c>
      <c r="H42" s="578">
        <v>706929.93923299992</v>
      </c>
      <c r="I42" s="547">
        <v>1.0470238927766806</v>
      </c>
      <c r="J42" s="547">
        <v>0.73226596461761351</v>
      </c>
      <c r="K42" s="548"/>
    </row>
    <row r="43" spans="1:11" s="507" customFormat="1" ht="48" customHeight="1">
      <c r="A43" s="187" t="s">
        <v>14</v>
      </c>
      <c r="B43" s="535" t="s">
        <v>2194</v>
      </c>
      <c r="C43" s="578">
        <v>749151</v>
      </c>
      <c r="D43" s="578">
        <v>749151</v>
      </c>
      <c r="E43" s="578">
        <v>0</v>
      </c>
      <c r="F43" s="578">
        <v>778993.66618200007</v>
      </c>
      <c r="G43" s="578">
        <v>73004.926949000001</v>
      </c>
      <c r="H43" s="578">
        <v>705988.73923299997</v>
      </c>
      <c r="I43" s="548">
        <v>1.0398353151527531</v>
      </c>
      <c r="J43" s="548">
        <v>9.7450216243454263E-2</v>
      </c>
      <c r="K43" s="548"/>
    </row>
    <row r="44" spans="1:11" ht="26.25" customHeight="1">
      <c r="A44" s="199">
        <v>1</v>
      </c>
      <c r="B44" s="202" t="s">
        <v>1950</v>
      </c>
      <c r="C44" s="576">
        <v>228492</v>
      </c>
      <c r="D44" s="576">
        <v>228492</v>
      </c>
      <c r="E44" s="576">
        <v>0</v>
      </c>
      <c r="F44" s="576">
        <v>257636.44304600003</v>
      </c>
      <c r="G44" s="576">
        <v>22274.627699999997</v>
      </c>
      <c r="H44" s="576">
        <v>235361.81534600002</v>
      </c>
      <c r="I44" s="548">
        <v>1.1275512623899306</v>
      </c>
      <c r="J44" s="548">
        <v>9.7485372354393141E-2</v>
      </c>
      <c r="K44" s="548"/>
    </row>
    <row r="45" spans="1:11" s="529" customFormat="1" ht="26.25" customHeight="1">
      <c r="A45" s="528" t="s">
        <v>1951</v>
      </c>
      <c r="B45" s="778" t="s">
        <v>30</v>
      </c>
      <c r="C45" s="579">
        <v>79518</v>
      </c>
      <c r="D45" s="579">
        <v>79518</v>
      </c>
      <c r="E45" s="579"/>
      <c r="F45" s="579">
        <v>173354.44621400003</v>
      </c>
      <c r="G45" s="579">
        <v>2715.1109999999999</v>
      </c>
      <c r="H45" s="579">
        <v>170639.33521400002</v>
      </c>
      <c r="I45" s="548">
        <v>2.1800654721446722</v>
      </c>
      <c r="J45" s="548">
        <v>3.414460876782615E-2</v>
      </c>
      <c r="K45" s="1031"/>
    </row>
    <row r="46" spans="1:11" s="529" customFormat="1" ht="26.25" customHeight="1">
      <c r="A46" s="528" t="s">
        <v>1951</v>
      </c>
      <c r="B46" s="778" t="s">
        <v>1952</v>
      </c>
      <c r="C46" s="579">
        <v>148974</v>
      </c>
      <c r="D46" s="579">
        <v>148974</v>
      </c>
      <c r="E46" s="579"/>
      <c r="F46" s="579">
        <v>84281.996832000004</v>
      </c>
      <c r="G46" s="579">
        <v>19559.516699999996</v>
      </c>
      <c r="H46" s="579">
        <v>64722.480132000004</v>
      </c>
      <c r="I46" s="548">
        <v>0.56574970687502524</v>
      </c>
      <c r="J46" s="548">
        <v>0.13129483466913688</v>
      </c>
      <c r="K46" s="1031"/>
    </row>
    <row r="47" spans="1:11" s="529" customFormat="1" ht="26.25" customHeight="1">
      <c r="A47" s="528">
        <v>2</v>
      </c>
      <c r="B47" s="202" t="s">
        <v>1953</v>
      </c>
      <c r="C47" s="576">
        <v>123693</v>
      </c>
      <c r="D47" s="576">
        <v>123693</v>
      </c>
      <c r="E47" s="576">
        <v>0</v>
      </c>
      <c r="F47" s="576">
        <v>177066.01538600001</v>
      </c>
      <c r="G47" s="576">
        <v>10567.425000000001</v>
      </c>
      <c r="H47" s="576">
        <v>166498.590386</v>
      </c>
      <c r="I47" s="548">
        <v>1.4314958436289849</v>
      </c>
      <c r="J47" s="548">
        <v>8.543268414542457E-2</v>
      </c>
      <c r="K47" s="548"/>
    </row>
    <row r="48" spans="1:11" s="529" customFormat="1" ht="26.25" customHeight="1">
      <c r="A48" s="528" t="s">
        <v>1951</v>
      </c>
      <c r="B48" s="778" t="s">
        <v>30</v>
      </c>
      <c r="C48" s="579">
        <v>95860</v>
      </c>
      <c r="D48" s="579">
        <v>95860</v>
      </c>
      <c r="E48" s="579"/>
      <c r="F48" s="579">
        <v>155685.91644500001</v>
      </c>
      <c r="G48" s="579">
        <v>993.35</v>
      </c>
      <c r="H48" s="579">
        <v>154692.566445</v>
      </c>
      <c r="I48" s="548">
        <v>1.6240967707594409</v>
      </c>
      <c r="J48" s="548">
        <v>1.0362507823909869E-2</v>
      </c>
      <c r="K48" s="1031"/>
    </row>
    <row r="49" spans="1:11" s="529" customFormat="1" ht="26.25" customHeight="1">
      <c r="A49" s="528" t="s">
        <v>1951</v>
      </c>
      <c r="B49" s="778" t="s">
        <v>1952</v>
      </c>
      <c r="C49" s="579">
        <v>27833</v>
      </c>
      <c r="D49" s="579">
        <v>27833</v>
      </c>
      <c r="E49" s="579"/>
      <c r="F49" s="579">
        <v>21380.098941</v>
      </c>
      <c r="G49" s="579">
        <v>9574.0750000000007</v>
      </c>
      <c r="H49" s="579">
        <v>11806.023940999999</v>
      </c>
      <c r="I49" s="548">
        <v>0.76815646681996197</v>
      </c>
      <c r="J49" s="548">
        <v>0.34398286207020445</v>
      </c>
      <c r="K49" s="1031"/>
    </row>
    <row r="50" spans="1:11" s="529" customFormat="1" ht="42" customHeight="1">
      <c r="A50" s="528">
        <v>2</v>
      </c>
      <c r="B50" s="202" t="s">
        <v>2193</v>
      </c>
      <c r="C50" s="576">
        <v>396966</v>
      </c>
      <c r="D50" s="576">
        <v>396966</v>
      </c>
      <c r="E50" s="576">
        <v>0</v>
      </c>
      <c r="F50" s="576">
        <v>344291.20775</v>
      </c>
      <c r="G50" s="576">
        <v>40162.874249</v>
      </c>
      <c r="H50" s="576">
        <v>304128.33350100002</v>
      </c>
      <c r="I50" s="548">
        <v>0.86730653947693259</v>
      </c>
      <c r="J50" s="548">
        <v>0.10117459492500618</v>
      </c>
      <c r="K50" s="548"/>
    </row>
    <row r="51" spans="1:11" s="529" customFormat="1" ht="26.25" customHeight="1">
      <c r="A51" s="528" t="s">
        <v>1951</v>
      </c>
      <c r="B51" s="778" t="s">
        <v>30</v>
      </c>
      <c r="C51" s="579">
        <v>192739</v>
      </c>
      <c r="D51" s="579">
        <v>192739</v>
      </c>
      <c r="E51" s="579"/>
      <c r="F51" s="579">
        <v>253586.09229900001</v>
      </c>
      <c r="G51" s="579">
        <v>0</v>
      </c>
      <c r="H51" s="579">
        <v>253586.09229900001</v>
      </c>
      <c r="I51" s="548">
        <v>1.3156968350930534</v>
      </c>
      <c r="J51" s="548">
        <v>0</v>
      </c>
      <c r="K51" s="1031"/>
    </row>
    <row r="52" spans="1:11" s="529" customFormat="1" ht="26.25" customHeight="1">
      <c r="A52" s="528" t="s">
        <v>1951</v>
      </c>
      <c r="B52" s="778" t="s">
        <v>1952</v>
      </c>
      <c r="C52" s="579">
        <v>204227</v>
      </c>
      <c r="D52" s="579">
        <v>204227</v>
      </c>
      <c r="E52" s="579"/>
      <c r="F52" s="579">
        <v>90705.115450999991</v>
      </c>
      <c r="G52" s="579">
        <v>40162.874249</v>
      </c>
      <c r="H52" s="579">
        <v>50542.241201999997</v>
      </c>
      <c r="I52" s="548">
        <v>0.44413870570982283</v>
      </c>
      <c r="J52" s="548">
        <v>0.19665800432362029</v>
      </c>
      <c r="K52" s="1031"/>
    </row>
    <row r="53" spans="1:11" s="507" customFormat="1" ht="43.5" customHeight="1">
      <c r="A53" s="187" t="s">
        <v>19</v>
      </c>
      <c r="B53" s="535" t="s">
        <v>1947</v>
      </c>
      <c r="C53" s="578">
        <v>1392616</v>
      </c>
      <c r="D53" s="578">
        <v>1392616</v>
      </c>
      <c r="E53" s="578">
        <v>0</v>
      </c>
      <c r="F53" s="578">
        <v>1474522.94</v>
      </c>
      <c r="G53" s="578">
        <v>1474522.94</v>
      </c>
      <c r="H53" s="578">
        <v>0</v>
      </c>
      <c r="I53" s="547">
        <v>1.0588151651280755</v>
      </c>
      <c r="J53" s="547">
        <v>1.0588151651280755</v>
      </c>
      <c r="K53" s="547"/>
    </row>
    <row r="54" spans="1:11" s="553" customFormat="1" ht="36" customHeight="1">
      <c r="A54" s="1028">
        <v>1</v>
      </c>
      <c r="B54" s="783" t="s">
        <v>182</v>
      </c>
      <c r="C54" s="581">
        <v>409916</v>
      </c>
      <c r="D54" s="581">
        <v>409916</v>
      </c>
      <c r="E54" s="581"/>
      <c r="F54" s="581">
        <v>295857.17</v>
      </c>
      <c r="G54" s="581">
        <v>295857.17</v>
      </c>
      <c r="H54" s="581"/>
      <c r="I54" s="1032">
        <v>0.72175072453868594</v>
      </c>
      <c r="J54" s="1032">
        <v>0.72175072453868594</v>
      </c>
      <c r="K54" s="1032"/>
    </row>
    <row r="55" spans="1:11" s="553" customFormat="1" ht="30" customHeight="1">
      <c r="A55" s="1028">
        <v>2</v>
      </c>
      <c r="B55" s="783" t="s">
        <v>183</v>
      </c>
      <c r="C55" s="581">
        <v>982700</v>
      </c>
      <c r="D55" s="581">
        <v>982700</v>
      </c>
      <c r="E55" s="581"/>
      <c r="F55" s="581">
        <v>1178665.77</v>
      </c>
      <c r="G55" s="581">
        <v>1178665.77</v>
      </c>
      <c r="H55" s="581">
        <v>0</v>
      </c>
      <c r="I55" s="1032">
        <v>1.1994156609341611</v>
      </c>
      <c r="J55" s="1032">
        <v>1.1994156609341611</v>
      </c>
      <c r="K55" s="1032"/>
    </row>
    <row r="56" spans="1:11" s="507" customFormat="1" ht="39.75" customHeight="1">
      <c r="A56" s="187" t="s">
        <v>23</v>
      </c>
      <c r="B56" s="535" t="s">
        <v>1948</v>
      </c>
      <c r="C56" s="578">
        <v>104181</v>
      </c>
      <c r="D56" s="578">
        <v>104181</v>
      </c>
      <c r="E56" s="578">
        <v>0</v>
      </c>
      <c r="F56" s="578">
        <v>98044.611751999997</v>
      </c>
      <c r="G56" s="578">
        <v>97103.411752</v>
      </c>
      <c r="H56" s="578">
        <v>941.2</v>
      </c>
      <c r="I56" s="547">
        <v>0.94109877762739846</v>
      </c>
      <c r="J56" s="547">
        <v>0.93206450074389768</v>
      </c>
      <c r="K56" s="547"/>
    </row>
    <row r="57" spans="1:11" s="553" customFormat="1" ht="25.5" customHeight="1">
      <c r="A57" s="1028">
        <v>1</v>
      </c>
      <c r="B57" s="783" t="s">
        <v>1949</v>
      </c>
      <c r="C57" s="581">
        <v>0</v>
      </c>
      <c r="D57" s="581">
        <v>0</v>
      </c>
      <c r="E57" s="581"/>
      <c r="F57" s="581">
        <v>0</v>
      </c>
      <c r="G57" s="581">
        <v>0</v>
      </c>
      <c r="H57" s="581"/>
      <c r="I57" s="1032"/>
      <c r="J57" s="1032"/>
      <c r="K57" s="1032"/>
    </row>
    <row r="58" spans="1:11" s="553" customFormat="1" ht="25.5" customHeight="1">
      <c r="A58" s="1028">
        <v>2</v>
      </c>
      <c r="B58" s="783" t="s">
        <v>183</v>
      </c>
      <c r="C58" s="581">
        <v>104181</v>
      </c>
      <c r="D58" s="581">
        <v>104181</v>
      </c>
      <c r="E58" s="581">
        <v>0</v>
      </c>
      <c r="F58" s="581">
        <v>98044.611751999997</v>
      </c>
      <c r="G58" s="581">
        <v>97103.411752</v>
      </c>
      <c r="H58" s="581">
        <v>941.2</v>
      </c>
      <c r="I58" s="1032">
        <v>0.94109877762739846</v>
      </c>
      <c r="J58" s="1032">
        <v>0.93206450074389768</v>
      </c>
      <c r="K58" s="1032"/>
    </row>
    <row r="59" spans="1:11" ht="25.5" hidden="1" customHeight="1">
      <c r="A59" s="199"/>
      <c r="B59" s="202"/>
      <c r="C59" s="576">
        <v>0</v>
      </c>
      <c r="D59" s="576"/>
      <c r="E59" s="576"/>
      <c r="F59" s="576"/>
      <c r="G59" s="576"/>
      <c r="H59" s="576"/>
      <c r="I59" s="1032" t="e">
        <v>#DIV/0!</v>
      </c>
      <c r="J59" s="1032" t="e">
        <v>#DIV/0!</v>
      </c>
      <c r="K59" s="548"/>
    </row>
    <row r="60" spans="1:11" ht="45.75" customHeight="1">
      <c r="A60" s="199"/>
      <c r="B60" s="202" t="s">
        <v>2463</v>
      </c>
      <c r="C60" s="576">
        <v>437</v>
      </c>
      <c r="D60" s="576">
        <v>437</v>
      </c>
      <c r="E60" s="576"/>
      <c r="F60" s="576">
        <v>437</v>
      </c>
      <c r="G60" s="576">
        <v>437</v>
      </c>
      <c r="H60" s="576"/>
      <c r="I60" s="548">
        <v>1</v>
      </c>
      <c r="J60" s="548">
        <v>1</v>
      </c>
      <c r="K60" s="548"/>
    </row>
    <row r="61" spans="1:11" ht="25.5" customHeight="1">
      <c r="A61" s="199"/>
      <c r="B61" s="202" t="s">
        <v>2464</v>
      </c>
      <c r="C61" s="576">
        <v>160</v>
      </c>
      <c r="D61" s="576">
        <v>160</v>
      </c>
      <c r="E61" s="576"/>
      <c r="F61" s="576">
        <v>160</v>
      </c>
      <c r="G61" s="576">
        <v>160</v>
      </c>
      <c r="H61" s="576"/>
      <c r="I61" s="548">
        <v>1</v>
      </c>
      <c r="J61" s="548">
        <v>1</v>
      </c>
      <c r="K61" s="548"/>
    </row>
    <row r="62" spans="1:11" ht="28.5" customHeight="1">
      <c r="A62" s="199"/>
      <c r="B62" s="1013" t="s">
        <v>2185</v>
      </c>
      <c r="C62" s="576">
        <v>13500</v>
      </c>
      <c r="D62" s="576">
        <v>13500</v>
      </c>
      <c r="E62" s="576"/>
      <c r="F62" s="576">
        <v>13397.386</v>
      </c>
      <c r="G62" s="576">
        <v>13397.386</v>
      </c>
      <c r="H62" s="576"/>
      <c r="I62" s="548">
        <v>0.99239896296296304</v>
      </c>
      <c r="J62" s="548">
        <v>0.99239896296296304</v>
      </c>
      <c r="K62" s="548"/>
    </row>
    <row r="63" spans="1:11" ht="30.75" customHeight="1">
      <c r="A63" s="199"/>
      <c r="B63" s="540" t="s">
        <v>2186</v>
      </c>
      <c r="C63" s="576">
        <v>1500</v>
      </c>
      <c r="D63" s="576">
        <v>1500</v>
      </c>
      <c r="E63" s="576"/>
      <c r="F63" s="576">
        <v>0</v>
      </c>
      <c r="G63" s="576">
        <v>0</v>
      </c>
      <c r="H63" s="576"/>
      <c r="I63" s="548">
        <v>0</v>
      </c>
      <c r="J63" s="548">
        <v>0</v>
      </c>
      <c r="K63" s="548"/>
    </row>
    <row r="64" spans="1:11" ht="80.25" customHeight="1">
      <c r="A64" s="199"/>
      <c r="B64" s="540" t="s">
        <v>2465</v>
      </c>
      <c r="C64" s="576">
        <v>15200</v>
      </c>
      <c r="D64" s="576">
        <v>15200</v>
      </c>
      <c r="E64" s="576"/>
      <c r="F64" s="576">
        <v>12448.4252</v>
      </c>
      <c r="G64" s="576">
        <v>12448.4252</v>
      </c>
      <c r="H64" s="576"/>
      <c r="I64" s="548">
        <v>0.81897534210526313</v>
      </c>
      <c r="J64" s="548">
        <v>0.81897534210526313</v>
      </c>
      <c r="K64" s="548"/>
    </row>
    <row r="65" spans="1:11" ht="37.5" customHeight="1">
      <c r="A65" s="199"/>
      <c r="B65" s="540" t="s">
        <v>2187</v>
      </c>
      <c r="C65" s="576">
        <v>7684</v>
      </c>
      <c r="D65" s="576">
        <v>7684</v>
      </c>
      <c r="E65" s="576"/>
      <c r="F65" s="576">
        <v>5454.4521439999999</v>
      </c>
      <c r="G65" s="576">
        <v>5454.4521439999999</v>
      </c>
      <c r="H65" s="576"/>
      <c r="I65" s="548">
        <v>0.70984541176470584</v>
      </c>
      <c r="J65" s="548">
        <v>0.70984541176470584</v>
      </c>
      <c r="K65" s="548"/>
    </row>
    <row r="66" spans="1:11" ht="35.25" customHeight="1">
      <c r="A66" s="199"/>
      <c r="B66" s="540" t="s">
        <v>2188</v>
      </c>
      <c r="C66" s="576">
        <v>56355</v>
      </c>
      <c r="D66" s="576">
        <v>56355</v>
      </c>
      <c r="E66" s="576"/>
      <c r="F66" s="576">
        <v>56355</v>
      </c>
      <c r="G66" s="576">
        <v>56355</v>
      </c>
      <c r="H66" s="576"/>
      <c r="I66" s="548">
        <v>1</v>
      </c>
      <c r="J66" s="548">
        <v>1</v>
      </c>
      <c r="K66" s="548"/>
    </row>
    <row r="67" spans="1:11" ht="35.25" customHeight="1">
      <c r="A67" s="199"/>
      <c r="B67" s="540" t="s">
        <v>2466</v>
      </c>
      <c r="C67" s="576">
        <v>9345</v>
      </c>
      <c r="D67" s="576">
        <v>9345</v>
      </c>
      <c r="E67" s="576"/>
      <c r="F67" s="576">
        <v>9792.3484079999998</v>
      </c>
      <c r="G67" s="576">
        <v>8851.1484079999991</v>
      </c>
      <c r="H67" s="576">
        <v>941.2</v>
      </c>
      <c r="I67" s="548">
        <v>1.047870348635634</v>
      </c>
      <c r="J67" s="548">
        <v>0.94715338769395385</v>
      </c>
      <c r="K67" s="548"/>
    </row>
    <row r="68" spans="1:11" s="507" customFormat="1" ht="33.75" customHeight="1">
      <c r="A68" s="186" t="s">
        <v>39</v>
      </c>
      <c r="B68" s="535" t="s">
        <v>1954</v>
      </c>
      <c r="C68" s="578">
        <v>168963</v>
      </c>
      <c r="D68" s="582">
        <v>0</v>
      </c>
      <c r="E68" s="582">
        <v>168963</v>
      </c>
      <c r="F68" s="578">
        <v>0</v>
      </c>
      <c r="G68" s="578"/>
      <c r="H68" s="578"/>
      <c r="I68" s="548"/>
      <c r="J68" s="548"/>
      <c r="K68" s="548"/>
    </row>
    <row r="69" spans="1:11" s="507" customFormat="1" ht="36" customHeight="1">
      <c r="A69" s="187" t="s">
        <v>40</v>
      </c>
      <c r="B69" s="535" t="s">
        <v>129</v>
      </c>
      <c r="C69" s="539"/>
      <c r="D69" s="539"/>
      <c r="E69" s="539"/>
      <c r="F69" s="578">
        <v>4005003.590388</v>
      </c>
      <c r="G69" s="578">
        <v>2796360.2797119999</v>
      </c>
      <c r="H69" s="578">
        <v>1208643.3106760001</v>
      </c>
      <c r="I69" s="548"/>
      <c r="J69" s="548"/>
      <c r="K69" s="548"/>
    </row>
    <row r="70" spans="1:11" s="507" customFormat="1" ht="36.75" customHeight="1">
      <c r="A70" s="187" t="s">
        <v>44</v>
      </c>
      <c r="B70" s="535" t="s">
        <v>1173</v>
      </c>
      <c r="C70" s="539"/>
      <c r="D70" s="539"/>
      <c r="E70" s="539"/>
      <c r="F70" s="578">
        <v>341766.78020899999</v>
      </c>
      <c r="G70" s="578">
        <v>301772.229811</v>
      </c>
      <c r="H70" s="578">
        <v>39994.550398000007</v>
      </c>
      <c r="I70" s="548"/>
      <c r="J70" s="548"/>
      <c r="K70" s="548"/>
    </row>
    <row r="71" spans="1:11" ht="22.5" customHeight="1">
      <c r="A71" s="553"/>
    </row>
  </sheetData>
  <mergeCells count="10">
    <mergeCell ref="A2:K2"/>
    <mergeCell ref="A4:K4"/>
    <mergeCell ref="A7:A8"/>
    <mergeCell ref="B7:B8"/>
    <mergeCell ref="C7:C8"/>
    <mergeCell ref="D7:E7"/>
    <mergeCell ref="F7:F8"/>
    <mergeCell ref="G7:H7"/>
    <mergeCell ref="A3:K3"/>
    <mergeCell ref="I7:K7"/>
  </mergeCells>
  <pageMargins left="0.44685039399999998" right="0.196850393700787" top="0.52559055099999996" bottom="0.44685039399999998" header="0.31496062992126" footer="0.196850393700787"/>
  <pageSetup paperSize="9" scale="55" orientation="portrait" r:id="rId1"/>
  <headerFoot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532"/>
  <sheetViews>
    <sheetView view="pageBreakPreview" zoomScale="70" zoomScaleNormal="64" zoomScaleSheetLayoutView="70" workbookViewId="0">
      <pane xSplit="3" ySplit="11" topLeftCell="D537" activePane="bottomRight" state="frozen"/>
      <selection pane="topRight" activeCell="D1" sqref="D1"/>
      <selection pane="bottomLeft" activeCell="A11" sqref="A11"/>
      <selection pane="bottomRight" sqref="A1:IV65536"/>
    </sheetView>
  </sheetViews>
  <sheetFormatPr defaultRowHeight="18.75"/>
  <cols>
    <col min="1" max="1" width="7.625" style="835" customWidth="1"/>
    <col min="2" max="2" width="39.75" style="836" customWidth="1"/>
    <col min="3" max="3" width="16.75" style="932" customWidth="1"/>
    <col min="4" max="4" width="14.25" style="932" customWidth="1"/>
    <col min="5" max="5" width="16.125" style="932" customWidth="1"/>
    <col min="6" max="6" width="12.25" style="932" customWidth="1"/>
    <col min="7" max="7" width="11.875" style="932" customWidth="1"/>
    <col min="8" max="8" width="14.25" style="932" customWidth="1"/>
    <col min="9" max="9" width="16.125" style="932" customWidth="1"/>
    <col min="10" max="10" width="18.875" style="932" customWidth="1"/>
    <col min="11" max="11" width="16.125" style="932" customWidth="1"/>
    <col min="12" max="12" width="17" style="932" customWidth="1"/>
    <col min="13" max="15" width="14.25" style="932" customWidth="1"/>
    <col min="16" max="16" width="12" style="933" customWidth="1"/>
    <col min="17" max="17" width="14.25" style="933" customWidth="1"/>
    <col min="18" max="18" width="16.75" style="932" customWidth="1"/>
    <col min="19" max="19" width="17.875" style="932" customWidth="1"/>
    <col min="20" max="20" width="14.25" style="932" customWidth="1"/>
    <col min="21" max="21" width="16.625" style="932" customWidth="1"/>
    <col min="22" max="24" width="9.125" style="836" customWidth="1"/>
    <col min="25" max="25" width="10.75" style="836" customWidth="1"/>
    <col min="26" max="16384" width="9" style="836"/>
  </cols>
  <sheetData>
    <row r="1" spans="1:24">
      <c r="W1" s="934" t="s">
        <v>1679</v>
      </c>
    </row>
    <row r="2" spans="1:24" ht="34.5" customHeight="1">
      <c r="A2" s="1081" t="s">
        <v>2403</v>
      </c>
      <c r="B2" s="1081"/>
      <c r="C2" s="1081"/>
      <c r="D2" s="1081"/>
      <c r="E2" s="1081"/>
      <c r="F2" s="1081"/>
      <c r="G2" s="1081"/>
      <c r="H2" s="1081"/>
      <c r="I2" s="1081"/>
      <c r="J2" s="1081"/>
      <c r="K2" s="1081"/>
      <c r="L2" s="1081"/>
      <c r="M2" s="1081"/>
      <c r="N2" s="1081"/>
      <c r="O2" s="1081"/>
      <c r="P2" s="1081"/>
      <c r="Q2" s="1081"/>
      <c r="R2" s="1081"/>
      <c r="S2" s="1081"/>
      <c r="T2" s="1081"/>
      <c r="U2" s="1081"/>
      <c r="V2" s="1081"/>
      <c r="W2" s="1081"/>
      <c r="X2" s="1081"/>
    </row>
    <row r="3" spans="1:24" ht="25.5" customHeight="1">
      <c r="A3" s="1082" t="s">
        <v>2397</v>
      </c>
      <c r="B3" s="1083"/>
      <c r="C3" s="1083"/>
      <c r="D3" s="1083"/>
      <c r="E3" s="1083"/>
      <c r="F3" s="1083"/>
      <c r="G3" s="1083"/>
      <c r="H3" s="1083"/>
      <c r="I3" s="1083"/>
      <c r="J3" s="1083"/>
      <c r="K3" s="1083"/>
      <c r="L3" s="1083"/>
      <c r="M3" s="1083"/>
      <c r="N3" s="1083"/>
      <c r="O3" s="1083"/>
      <c r="P3" s="1083"/>
      <c r="Q3" s="1083"/>
      <c r="R3" s="1083"/>
      <c r="S3" s="1083"/>
      <c r="T3" s="1083"/>
      <c r="U3" s="1083"/>
      <c r="V3" s="1083"/>
      <c r="W3" s="1083"/>
      <c r="X3" s="1083"/>
    </row>
    <row r="4" spans="1:24">
      <c r="V4" s="936" t="s">
        <v>2</v>
      </c>
    </row>
    <row r="5" spans="1:24" ht="28.5" customHeight="1">
      <c r="A5" s="1084" t="s">
        <v>3</v>
      </c>
      <c r="B5" s="1084" t="s">
        <v>152</v>
      </c>
      <c r="C5" s="1090" t="s">
        <v>1627</v>
      </c>
      <c r="D5" s="1091"/>
      <c r="E5" s="1091"/>
      <c r="F5" s="1091"/>
      <c r="G5" s="1091"/>
      <c r="H5" s="1091"/>
      <c r="I5" s="1092"/>
      <c r="J5" s="1090" t="s">
        <v>5</v>
      </c>
      <c r="K5" s="1091"/>
      <c r="L5" s="1091"/>
      <c r="M5" s="1091"/>
      <c r="N5" s="1091"/>
      <c r="O5" s="1091"/>
      <c r="P5" s="1091"/>
      <c r="Q5" s="1091"/>
      <c r="R5" s="1091"/>
      <c r="S5" s="1091"/>
      <c r="T5" s="1091"/>
      <c r="U5" s="1092"/>
      <c r="V5" s="1087" t="s">
        <v>52</v>
      </c>
      <c r="W5" s="1088"/>
      <c r="X5" s="1089"/>
    </row>
    <row r="6" spans="1:24" ht="30.75" customHeight="1">
      <c r="A6" s="1085"/>
      <c r="B6" s="1085"/>
      <c r="C6" s="1079" t="s">
        <v>153</v>
      </c>
      <c r="D6" s="1079" t="s">
        <v>2680</v>
      </c>
      <c r="E6" s="1079" t="s">
        <v>2681</v>
      </c>
      <c r="F6" s="1079" t="s">
        <v>1770</v>
      </c>
      <c r="G6" s="1079" t="s">
        <v>1626</v>
      </c>
      <c r="H6" s="1079" t="s">
        <v>1962</v>
      </c>
      <c r="I6" s="1079" t="s">
        <v>1961</v>
      </c>
      <c r="J6" s="1079" t="s">
        <v>153</v>
      </c>
      <c r="K6" s="1079" t="s">
        <v>2680</v>
      </c>
      <c r="L6" s="1079" t="s">
        <v>2681</v>
      </c>
      <c r="M6" s="1079" t="s">
        <v>1770</v>
      </c>
      <c r="N6" s="1079" t="s">
        <v>1626</v>
      </c>
      <c r="O6" s="1090" t="s">
        <v>1680</v>
      </c>
      <c r="P6" s="1091"/>
      <c r="Q6" s="1092"/>
      <c r="R6" s="1079" t="s">
        <v>1961</v>
      </c>
      <c r="S6" s="1079" t="s">
        <v>1681</v>
      </c>
      <c r="T6" s="1079" t="s">
        <v>1963</v>
      </c>
      <c r="U6" s="1079" t="s">
        <v>1723</v>
      </c>
      <c r="V6" s="1084" t="s">
        <v>153</v>
      </c>
      <c r="W6" s="1084" t="s">
        <v>30</v>
      </c>
      <c r="X6" s="1084" t="s">
        <v>1724</v>
      </c>
    </row>
    <row r="7" spans="1:24" ht="94.5" customHeight="1">
      <c r="A7" s="1086"/>
      <c r="B7" s="1086"/>
      <c r="C7" s="1080"/>
      <c r="D7" s="1080"/>
      <c r="E7" s="1080"/>
      <c r="F7" s="1080"/>
      <c r="G7" s="1080"/>
      <c r="H7" s="1080"/>
      <c r="I7" s="1080"/>
      <c r="J7" s="1080"/>
      <c r="K7" s="1080"/>
      <c r="L7" s="1080"/>
      <c r="M7" s="1080"/>
      <c r="N7" s="1080"/>
      <c r="O7" s="937" t="s">
        <v>153</v>
      </c>
      <c r="P7" s="938" t="s">
        <v>30</v>
      </c>
      <c r="Q7" s="938" t="s">
        <v>31</v>
      </c>
      <c r="R7" s="1080"/>
      <c r="S7" s="1080"/>
      <c r="T7" s="1080"/>
      <c r="U7" s="1080"/>
      <c r="V7" s="1086"/>
      <c r="W7" s="1086"/>
      <c r="X7" s="1086"/>
    </row>
    <row r="8" spans="1:24" s="941" customFormat="1" ht="17.25" customHeight="1">
      <c r="A8" s="939"/>
      <c r="B8" s="939"/>
      <c r="C8" s="940"/>
      <c r="D8" s="940"/>
      <c r="E8" s="940"/>
      <c r="F8" s="940"/>
      <c r="G8" s="940"/>
      <c r="H8" s="940"/>
      <c r="I8" s="940"/>
      <c r="J8" s="940"/>
      <c r="K8" s="940"/>
      <c r="L8" s="940"/>
      <c r="M8" s="940"/>
      <c r="N8" s="940"/>
      <c r="O8" s="940"/>
      <c r="P8" s="940"/>
      <c r="Q8" s="940"/>
      <c r="R8" s="940"/>
      <c r="S8" s="940"/>
      <c r="T8" s="940"/>
      <c r="U8" s="940"/>
      <c r="V8" s="939"/>
      <c r="W8" s="939"/>
      <c r="X8" s="939"/>
    </row>
    <row r="9" spans="1:24" s="941" customFormat="1" ht="27.75" hidden="1" customHeight="1">
      <c r="A9" s="939"/>
      <c r="B9" s="939"/>
      <c r="C9" s="940"/>
      <c r="D9" s="940"/>
      <c r="E9" s="940"/>
      <c r="F9" s="940"/>
      <c r="G9" s="940"/>
      <c r="H9" s="940"/>
      <c r="I9" s="940"/>
      <c r="J9" s="940">
        <v>11393587.855285998</v>
      </c>
      <c r="K9" s="940">
        <v>734179.45652000001</v>
      </c>
      <c r="L9" s="940">
        <v>2019613.2116040001</v>
      </c>
      <c r="M9" s="940">
        <v>4628.143</v>
      </c>
      <c r="N9" s="940">
        <v>1000</v>
      </c>
      <c r="O9" s="940">
        <v>73004.926949000001</v>
      </c>
      <c r="P9" s="940"/>
      <c r="Q9" s="940"/>
      <c r="R9" s="940">
        <v>1571626.3517519999</v>
      </c>
      <c r="S9" s="940">
        <v>2796360.2797119999</v>
      </c>
      <c r="T9" s="940">
        <v>301772.229811</v>
      </c>
      <c r="U9" s="940">
        <v>3891403.255938</v>
      </c>
      <c r="V9" s="939"/>
      <c r="W9" s="939"/>
      <c r="X9" s="939"/>
    </row>
    <row r="10" spans="1:24" s="947" customFormat="1" ht="34.5" customHeight="1">
      <c r="A10" s="942"/>
      <c r="B10" s="943" t="s">
        <v>154</v>
      </c>
      <c r="C10" s="944">
        <v>5471720</v>
      </c>
      <c r="D10" s="944">
        <v>933329</v>
      </c>
      <c r="E10" s="944">
        <v>2102257</v>
      </c>
      <c r="F10" s="944">
        <v>5176</v>
      </c>
      <c r="G10" s="944">
        <v>1000</v>
      </c>
      <c r="H10" s="944">
        <v>184010</v>
      </c>
      <c r="I10" s="944">
        <v>2245948</v>
      </c>
      <c r="J10" s="944">
        <v>11393587.855285998</v>
      </c>
      <c r="K10" s="944">
        <v>734179.45652000001</v>
      </c>
      <c r="L10" s="944">
        <v>2019613.2216040001</v>
      </c>
      <c r="M10" s="944">
        <v>4628.143</v>
      </c>
      <c r="N10" s="944">
        <v>1000</v>
      </c>
      <c r="O10" s="944">
        <v>73004.926949000001</v>
      </c>
      <c r="P10" s="945">
        <v>3708.4609999999998</v>
      </c>
      <c r="Q10" s="945">
        <v>69296.465949000005</v>
      </c>
      <c r="R10" s="944">
        <v>1571626.3517519999</v>
      </c>
      <c r="S10" s="944">
        <v>2796360.2797119999</v>
      </c>
      <c r="T10" s="944">
        <v>301772.229811</v>
      </c>
      <c r="U10" s="944">
        <v>3891403.255938</v>
      </c>
      <c r="V10" s="946">
        <v>2.0822680720661872</v>
      </c>
      <c r="W10" s="946">
        <v>0.78662449845659999</v>
      </c>
      <c r="X10" s="946">
        <v>0.96068807077536189</v>
      </c>
    </row>
    <row r="11" spans="1:24" s="953" customFormat="1" ht="20.25" hidden="1" customHeight="1">
      <c r="A11" s="948"/>
      <c r="B11" s="949"/>
      <c r="C11" s="950"/>
      <c r="D11" s="950"/>
      <c r="E11" s="950"/>
      <c r="F11" s="950"/>
      <c r="G11" s="950"/>
      <c r="H11" s="950"/>
      <c r="I11" s="950"/>
      <c r="J11" s="950"/>
      <c r="K11" s="950"/>
      <c r="L11" s="950"/>
      <c r="M11" s="950"/>
      <c r="N11" s="950"/>
      <c r="O11" s="950"/>
      <c r="P11" s="951"/>
      <c r="Q11" s="951"/>
      <c r="R11" s="950"/>
      <c r="S11" s="950"/>
      <c r="T11" s="950"/>
      <c r="U11" s="950"/>
      <c r="V11" s="952"/>
      <c r="W11" s="952"/>
      <c r="X11" s="952"/>
    </row>
    <row r="12" spans="1:24" s="957" customFormat="1" ht="34.5" hidden="1" customHeight="1">
      <c r="A12" s="948"/>
      <c r="B12" s="949"/>
      <c r="C12" s="954"/>
      <c r="D12" s="954"/>
      <c r="E12" s="954"/>
      <c r="F12" s="954"/>
      <c r="G12" s="954"/>
      <c r="H12" s="954"/>
      <c r="I12" s="954"/>
      <c r="J12" s="954"/>
      <c r="K12" s="954"/>
      <c r="L12" s="954"/>
      <c r="M12" s="954"/>
      <c r="N12" s="954"/>
      <c r="O12" s="954"/>
      <c r="P12" s="954"/>
      <c r="Q12" s="954"/>
      <c r="R12" s="954"/>
      <c r="S12" s="954"/>
      <c r="T12" s="954"/>
      <c r="U12" s="954"/>
      <c r="V12" s="955"/>
      <c r="W12" s="956"/>
      <c r="X12" s="956"/>
    </row>
    <row r="13" spans="1:24" s="957" customFormat="1" ht="22.5" hidden="1" customHeight="1">
      <c r="A13" s="948"/>
      <c r="B13" s="949"/>
      <c r="C13" s="954"/>
      <c r="D13" s="954"/>
      <c r="E13" s="954"/>
      <c r="F13" s="954"/>
      <c r="G13" s="954"/>
      <c r="H13" s="954"/>
      <c r="I13" s="954"/>
      <c r="J13" s="950"/>
      <c r="K13" s="954"/>
      <c r="L13" s="954"/>
      <c r="M13" s="954"/>
      <c r="N13" s="954"/>
      <c r="O13" s="954"/>
      <c r="P13" s="958"/>
      <c r="Q13" s="958"/>
      <c r="R13" s="954"/>
      <c r="S13" s="954"/>
      <c r="T13" s="954"/>
      <c r="U13" s="954"/>
      <c r="V13" s="956"/>
      <c r="W13" s="956"/>
      <c r="X13" s="956"/>
    </row>
    <row r="14" spans="1:24" s="957" customFormat="1" ht="22.5" hidden="1" customHeight="1">
      <c r="A14" s="948"/>
      <c r="B14" s="949"/>
      <c r="C14" s="954"/>
      <c r="D14" s="954"/>
      <c r="E14" s="954"/>
      <c r="F14" s="954"/>
      <c r="G14" s="954"/>
      <c r="H14" s="954"/>
      <c r="I14" s="954"/>
      <c r="J14" s="950"/>
      <c r="K14" s="954"/>
      <c r="L14" s="954"/>
      <c r="M14" s="954"/>
      <c r="N14" s="954"/>
      <c r="O14" s="954"/>
      <c r="P14" s="958"/>
      <c r="Q14" s="958"/>
      <c r="R14" s="954"/>
      <c r="S14" s="954"/>
      <c r="T14" s="954"/>
      <c r="U14" s="954"/>
      <c r="V14" s="956"/>
      <c r="W14" s="956"/>
      <c r="X14" s="956"/>
    </row>
    <row r="15" spans="1:24" s="837" customFormat="1">
      <c r="A15" s="959" t="s">
        <v>1883</v>
      </c>
      <c r="B15" s="960" t="s">
        <v>453</v>
      </c>
      <c r="C15" s="961"/>
      <c r="D15" s="961"/>
      <c r="E15" s="961"/>
      <c r="F15" s="961"/>
      <c r="G15" s="961"/>
      <c r="H15" s="961"/>
      <c r="I15" s="961"/>
      <c r="J15" s="944">
        <v>2053.027</v>
      </c>
      <c r="K15" s="961">
        <v>2053.027</v>
      </c>
      <c r="L15" s="961"/>
      <c r="M15" s="961"/>
      <c r="N15" s="961"/>
      <c r="O15" s="961">
        <v>0</v>
      </c>
      <c r="P15" s="962"/>
      <c r="Q15" s="962"/>
      <c r="R15" s="961"/>
      <c r="S15" s="961"/>
      <c r="T15" s="961"/>
      <c r="U15" s="961"/>
      <c r="V15" s="963"/>
      <c r="W15" s="963"/>
      <c r="X15" s="963"/>
    </row>
    <row r="16" spans="1:24" s="837" customFormat="1" ht="37.5">
      <c r="A16" s="959" t="s">
        <v>2469</v>
      </c>
      <c r="B16" s="960" t="s">
        <v>2524</v>
      </c>
      <c r="C16" s="961"/>
      <c r="D16" s="961"/>
      <c r="E16" s="961"/>
      <c r="F16" s="961"/>
      <c r="G16" s="961"/>
      <c r="H16" s="961"/>
      <c r="I16" s="961"/>
      <c r="J16" s="944">
        <v>2053.027</v>
      </c>
      <c r="K16" s="961">
        <v>2053.027</v>
      </c>
      <c r="L16" s="961"/>
      <c r="M16" s="961"/>
      <c r="N16" s="961"/>
      <c r="O16" s="961">
        <v>0</v>
      </c>
      <c r="P16" s="962"/>
      <c r="Q16" s="962"/>
      <c r="R16" s="961"/>
      <c r="S16" s="961"/>
      <c r="T16" s="961"/>
      <c r="U16" s="961"/>
      <c r="V16" s="963"/>
      <c r="W16" s="963"/>
      <c r="X16" s="963"/>
    </row>
    <row r="17" spans="1:24" s="837" customFormat="1">
      <c r="A17" s="959" t="s">
        <v>1884</v>
      </c>
      <c r="B17" s="960" t="s">
        <v>2245</v>
      </c>
      <c r="C17" s="961"/>
      <c r="D17" s="961"/>
      <c r="E17" s="961"/>
      <c r="F17" s="961"/>
      <c r="G17" s="961"/>
      <c r="H17" s="961"/>
      <c r="I17" s="961"/>
      <c r="J17" s="944">
        <v>10303.987499999999</v>
      </c>
      <c r="K17" s="961">
        <v>10303.987499999999</v>
      </c>
      <c r="L17" s="961"/>
      <c r="M17" s="961"/>
      <c r="N17" s="961"/>
      <c r="O17" s="961">
        <v>0</v>
      </c>
      <c r="P17" s="962"/>
      <c r="Q17" s="962"/>
      <c r="R17" s="961"/>
      <c r="S17" s="961"/>
      <c r="T17" s="961"/>
      <c r="U17" s="961"/>
      <c r="V17" s="963"/>
      <c r="W17" s="963"/>
      <c r="X17" s="963"/>
    </row>
    <row r="18" spans="1:24" s="837" customFormat="1" ht="37.5">
      <c r="A18" s="959" t="s">
        <v>2469</v>
      </c>
      <c r="B18" s="960" t="s">
        <v>2273</v>
      </c>
      <c r="C18" s="961"/>
      <c r="D18" s="961"/>
      <c r="E18" s="961"/>
      <c r="F18" s="961"/>
      <c r="G18" s="961"/>
      <c r="H18" s="961"/>
      <c r="I18" s="961"/>
      <c r="J18" s="944">
        <v>170.9605</v>
      </c>
      <c r="K18" s="961">
        <v>170.9605</v>
      </c>
      <c r="L18" s="961"/>
      <c r="M18" s="961"/>
      <c r="N18" s="961"/>
      <c r="O18" s="961">
        <v>0</v>
      </c>
      <c r="P18" s="962"/>
      <c r="Q18" s="962"/>
      <c r="R18" s="961"/>
      <c r="S18" s="961"/>
      <c r="T18" s="961"/>
      <c r="U18" s="961"/>
      <c r="V18" s="963"/>
      <c r="W18" s="963"/>
      <c r="X18" s="963"/>
    </row>
    <row r="19" spans="1:24" s="837" customFormat="1" ht="37.5">
      <c r="A19" s="959" t="s">
        <v>2469</v>
      </c>
      <c r="B19" s="960" t="s">
        <v>2274</v>
      </c>
      <c r="C19" s="961"/>
      <c r="D19" s="961"/>
      <c r="E19" s="961"/>
      <c r="F19" s="961"/>
      <c r="G19" s="961"/>
      <c r="H19" s="961"/>
      <c r="I19" s="961"/>
      <c r="J19" s="944">
        <v>30</v>
      </c>
      <c r="K19" s="961">
        <v>30</v>
      </c>
      <c r="L19" s="961"/>
      <c r="M19" s="961"/>
      <c r="N19" s="961"/>
      <c r="O19" s="961">
        <v>0</v>
      </c>
      <c r="P19" s="962"/>
      <c r="Q19" s="962"/>
      <c r="R19" s="961"/>
      <c r="S19" s="961"/>
      <c r="T19" s="961"/>
      <c r="U19" s="961"/>
      <c r="V19" s="963"/>
      <c r="W19" s="963"/>
      <c r="X19" s="963"/>
    </row>
    <row r="20" spans="1:24" s="837" customFormat="1" ht="56.25">
      <c r="A20" s="959" t="s">
        <v>2469</v>
      </c>
      <c r="B20" s="960" t="s">
        <v>2276</v>
      </c>
      <c r="C20" s="961"/>
      <c r="D20" s="961"/>
      <c r="E20" s="961"/>
      <c r="F20" s="961"/>
      <c r="G20" s="961"/>
      <c r="H20" s="961"/>
      <c r="I20" s="961"/>
      <c r="J20" s="944">
        <v>500</v>
      </c>
      <c r="K20" s="961">
        <v>500</v>
      </c>
      <c r="L20" s="961"/>
      <c r="M20" s="961"/>
      <c r="N20" s="961"/>
      <c r="O20" s="961">
        <v>0</v>
      </c>
      <c r="P20" s="962"/>
      <c r="Q20" s="962"/>
      <c r="R20" s="961"/>
      <c r="S20" s="961"/>
      <c r="T20" s="961"/>
      <c r="U20" s="961"/>
      <c r="V20" s="963"/>
      <c r="W20" s="963"/>
      <c r="X20" s="963"/>
    </row>
    <row r="21" spans="1:24" s="837" customFormat="1" ht="56.25">
      <c r="A21" s="959" t="s">
        <v>2469</v>
      </c>
      <c r="B21" s="960" t="s">
        <v>2277</v>
      </c>
      <c r="C21" s="961"/>
      <c r="D21" s="961"/>
      <c r="E21" s="961"/>
      <c r="F21" s="961"/>
      <c r="G21" s="961"/>
      <c r="H21" s="961"/>
      <c r="I21" s="961"/>
      <c r="J21" s="944">
        <v>6262.8379999999997</v>
      </c>
      <c r="K21" s="961">
        <v>6262.8379999999997</v>
      </c>
      <c r="L21" s="961"/>
      <c r="M21" s="961"/>
      <c r="N21" s="961"/>
      <c r="O21" s="961">
        <v>0</v>
      </c>
      <c r="P21" s="962"/>
      <c r="Q21" s="962"/>
      <c r="R21" s="961"/>
      <c r="S21" s="961"/>
      <c r="T21" s="961"/>
      <c r="U21" s="961"/>
      <c r="V21" s="963"/>
      <c r="W21" s="963"/>
      <c r="X21" s="963"/>
    </row>
    <row r="22" spans="1:24" s="837" customFormat="1" ht="56.25">
      <c r="A22" s="959" t="s">
        <v>2469</v>
      </c>
      <c r="B22" s="960" t="s">
        <v>2278</v>
      </c>
      <c r="C22" s="961"/>
      <c r="D22" s="961"/>
      <c r="E22" s="961"/>
      <c r="F22" s="961"/>
      <c r="G22" s="961"/>
      <c r="H22" s="961"/>
      <c r="I22" s="961"/>
      <c r="J22" s="944">
        <v>3340.1889999999999</v>
      </c>
      <c r="K22" s="961">
        <v>3340.1889999999999</v>
      </c>
      <c r="L22" s="961"/>
      <c r="M22" s="961"/>
      <c r="N22" s="961"/>
      <c r="O22" s="961">
        <v>0</v>
      </c>
      <c r="P22" s="962"/>
      <c r="Q22" s="962"/>
      <c r="R22" s="961"/>
      <c r="S22" s="961"/>
      <c r="T22" s="961"/>
      <c r="U22" s="961"/>
      <c r="V22" s="963"/>
      <c r="W22" s="963"/>
      <c r="X22" s="963"/>
    </row>
    <row r="23" spans="1:24" s="837" customFormat="1">
      <c r="A23" s="959" t="s">
        <v>1885</v>
      </c>
      <c r="B23" s="960" t="s">
        <v>461</v>
      </c>
      <c r="C23" s="961"/>
      <c r="D23" s="961"/>
      <c r="E23" s="961"/>
      <c r="F23" s="961"/>
      <c r="G23" s="961"/>
      <c r="H23" s="961"/>
      <c r="I23" s="961"/>
      <c r="J23" s="944">
        <v>36424.873</v>
      </c>
      <c r="K23" s="961">
        <v>36424.873</v>
      </c>
      <c r="L23" s="961"/>
      <c r="M23" s="961"/>
      <c r="N23" s="961"/>
      <c r="O23" s="961">
        <v>0</v>
      </c>
      <c r="P23" s="962"/>
      <c r="Q23" s="962"/>
      <c r="R23" s="961"/>
      <c r="S23" s="961"/>
      <c r="T23" s="961"/>
      <c r="U23" s="961"/>
      <c r="V23" s="963"/>
      <c r="W23" s="963"/>
      <c r="X23" s="963"/>
    </row>
    <row r="24" spans="1:24" s="837" customFormat="1" ht="37.5">
      <c r="A24" s="959" t="s">
        <v>2469</v>
      </c>
      <c r="B24" s="960" t="s">
        <v>2525</v>
      </c>
      <c r="C24" s="961"/>
      <c r="D24" s="961"/>
      <c r="E24" s="961"/>
      <c r="F24" s="961"/>
      <c r="G24" s="961"/>
      <c r="H24" s="961"/>
      <c r="I24" s="961"/>
      <c r="J24" s="944">
        <v>12807.869000000001</v>
      </c>
      <c r="K24" s="961">
        <v>12807.869000000001</v>
      </c>
      <c r="L24" s="961"/>
      <c r="M24" s="961"/>
      <c r="N24" s="961"/>
      <c r="O24" s="961">
        <v>0</v>
      </c>
      <c r="P24" s="962"/>
      <c r="Q24" s="962"/>
      <c r="R24" s="961"/>
      <c r="S24" s="961"/>
      <c r="T24" s="961"/>
      <c r="U24" s="961"/>
      <c r="V24" s="963"/>
      <c r="W24" s="963"/>
      <c r="X24" s="963"/>
    </row>
    <row r="25" spans="1:24" s="837" customFormat="1" ht="37.5">
      <c r="A25" s="959" t="s">
        <v>2469</v>
      </c>
      <c r="B25" s="960" t="s">
        <v>2526</v>
      </c>
      <c r="C25" s="961"/>
      <c r="D25" s="961"/>
      <c r="E25" s="961"/>
      <c r="F25" s="961"/>
      <c r="G25" s="961"/>
      <c r="H25" s="961"/>
      <c r="I25" s="961"/>
      <c r="J25" s="944">
        <v>18740.674999999999</v>
      </c>
      <c r="K25" s="961">
        <v>18740.674999999999</v>
      </c>
      <c r="L25" s="961"/>
      <c r="M25" s="961"/>
      <c r="N25" s="961"/>
      <c r="O25" s="961">
        <v>0</v>
      </c>
      <c r="P25" s="962"/>
      <c r="Q25" s="962"/>
      <c r="R25" s="961"/>
      <c r="S25" s="961"/>
      <c r="T25" s="961"/>
      <c r="U25" s="961"/>
      <c r="V25" s="963"/>
      <c r="W25" s="963"/>
      <c r="X25" s="963"/>
    </row>
    <row r="26" spans="1:24" s="837" customFormat="1" ht="37.5">
      <c r="A26" s="959" t="s">
        <v>2469</v>
      </c>
      <c r="B26" s="960" t="s">
        <v>2527</v>
      </c>
      <c r="C26" s="961"/>
      <c r="D26" s="961"/>
      <c r="E26" s="961"/>
      <c r="F26" s="961"/>
      <c r="G26" s="961"/>
      <c r="H26" s="961"/>
      <c r="I26" s="961"/>
      <c r="J26" s="944">
        <v>143.97</v>
      </c>
      <c r="K26" s="961">
        <v>143.97</v>
      </c>
      <c r="L26" s="961"/>
      <c r="M26" s="961"/>
      <c r="N26" s="961"/>
      <c r="O26" s="961">
        <v>0</v>
      </c>
      <c r="P26" s="962"/>
      <c r="Q26" s="962"/>
      <c r="R26" s="961"/>
      <c r="S26" s="961"/>
      <c r="T26" s="961"/>
      <c r="U26" s="961"/>
      <c r="V26" s="963"/>
      <c r="W26" s="963"/>
      <c r="X26" s="963"/>
    </row>
    <row r="27" spans="1:24" s="837" customFormat="1" ht="56.25">
      <c r="A27" s="959" t="s">
        <v>2469</v>
      </c>
      <c r="B27" s="960" t="s">
        <v>2528</v>
      </c>
      <c r="C27" s="961"/>
      <c r="D27" s="961"/>
      <c r="E27" s="961"/>
      <c r="F27" s="961"/>
      <c r="G27" s="961"/>
      <c r="H27" s="961"/>
      <c r="I27" s="961"/>
      <c r="J27" s="944">
        <v>4732.3590000000004</v>
      </c>
      <c r="K27" s="961">
        <v>4732.3590000000004</v>
      </c>
      <c r="L27" s="961"/>
      <c r="M27" s="961"/>
      <c r="N27" s="961"/>
      <c r="O27" s="961">
        <v>0</v>
      </c>
      <c r="P27" s="962"/>
      <c r="Q27" s="962"/>
      <c r="R27" s="961"/>
      <c r="S27" s="961"/>
      <c r="T27" s="961"/>
      <c r="U27" s="961"/>
      <c r="V27" s="963"/>
      <c r="W27" s="963"/>
      <c r="X27" s="963"/>
    </row>
    <row r="28" spans="1:24" s="837" customFormat="1">
      <c r="A28" s="959" t="s">
        <v>1886</v>
      </c>
      <c r="B28" s="960" t="s">
        <v>477</v>
      </c>
      <c r="C28" s="961"/>
      <c r="D28" s="961"/>
      <c r="E28" s="961"/>
      <c r="F28" s="961"/>
      <c r="G28" s="961"/>
      <c r="H28" s="961"/>
      <c r="I28" s="961"/>
      <c r="J28" s="944">
        <v>8009.8019999999997</v>
      </c>
      <c r="K28" s="961">
        <v>8009.8019999999997</v>
      </c>
      <c r="L28" s="961"/>
      <c r="M28" s="961"/>
      <c r="N28" s="961"/>
      <c r="O28" s="961">
        <v>0</v>
      </c>
      <c r="P28" s="962"/>
      <c r="Q28" s="962"/>
      <c r="R28" s="961"/>
      <c r="S28" s="961"/>
      <c r="T28" s="961"/>
      <c r="U28" s="961"/>
      <c r="V28" s="963"/>
      <c r="W28" s="963"/>
      <c r="X28" s="963"/>
    </row>
    <row r="29" spans="1:24" s="837" customFormat="1" ht="56.25">
      <c r="A29" s="959" t="s">
        <v>2469</v>
      </c>
      <c r="B29" s="960" t="s">
        <v>2279</v>
      </c>
      <c r="C29" s="961"/>
      <c r="D29" s="961"/>
      <c r="E29" s="961"/>
      <c r="F29" s="961"/>
      <c r="G29" s="961"/>
      <c r="H29" s="961"/>
      <c r="I29" s="961"/>
      <c r="J29" s="944">
        <v>7800.2849999999999</v>
      </c>
      <c r="K29" s="961">
        <v>7800.2849999999999</v>
      </c>
      <c r="L29" s="961"/>
      <c r="M29" s="961"/>
      <c r="N29" s="961"/>
      <c r="O29" s="961">
        <v>0</v>
      </c>
      <c r="P29" s="962"/>
      <c r="Q29" s="962"/>
      <c r="R29" s="961"/>
      <c r="S29" s="961"/>
      <c r="T29" s="961"/>
      <c r="U29" s="961"/>
      <c r="V29" s="963"/>
      <c r="W29" s="963"/>
      <c r="X29" s="963"/>
    </row>
    <row r="30" spans="1:24" s="837" customFormat="1" ht="56.25">
      <c r="A30" s="959" t="s">
        <v>2469</v>
      </c>
      <c r="B30" s="960" t="s">
        <v>2529</v>
      </c>
      <c r="C30" s="961"/>
      <c r="D30" s="961"/>
      <c r="E30" s="961"/>
      <c r="F30" s="961"/>
      <c r="G30" s="961"/>
      <c r="H30" s="961"/>
      <c r="I30" s="961"/>
      <c r="J30" s="944">
        <v>209.517</v>
      </c>
      <c r="K30" s="961">
        <v>209.517</v>
      </c>
      <c r="L30" s="961"/>
      <c r="M30" s="961"/>
      <c r="N30" s="961"/>
      <c r="O30" s="961">
        <v>0</v>
      </c>
      <c r="P30" s="962"/>
      <c r="Q30" s="962"/>
      <c r="R30" s="961"/>
      <c r="S30" s="961"/>
      <c r="T30" s="961"/>
      <c r="U30" s="961"/>
      <c r="V30" s="963"/>
      <c r="W30" s="963"/>
      <c r="X30" s="963"/>
    </row>
    <row r="31" spans="1:24" s="837" customFormat="1">
      <c r="A31" s="959" t="s">
        <v>1976</v>
      </c>
      <c r="B31" s="960" t="s">
        <v>545</v>
      </c>
      <c r="C31" s="961"/>
      <c r="D31" s="961"/>
      <c r="E31" s="961"/>
      <c r="F31" s="961"/>
      <c r="G31" s="961"/>
      <c r="H31" s="961"/>
      <c r="I31" s="961"/>
      <c r="J31" s="944">
        <v>6567.107</v>
      </c>
      <c r="K31" s="961">
        <v>6567.107</v>
      </c>
      <c r="L31" s="961"/>
      <c r="M31" s="961"/>
      <c r="N31" s="961"/>
      <c r="O31" s="961">
        <v>0</v>
      </c>
      <c r="P31" s="962"/>
      <c r="Q31" s="962"/>
      <c r="R31" s="961"/>
      <c r="S31" s="961"/>
      <c r="T31" s="961"/>
      <c r="U31" s="961"/>
      <c r="V31" s="963"/>
      <c r="W31" s="963"/>
      <c r="X31" s="963"/>
    </row>
    <row r="32" spans="1:24" s="837" customFormat="1" ht="75">
      <c r="A32" s="959" t="s">
        <v>2469</v>
      </c>
      <c r="B32" s="960" t="s">
        <v>2530</v>
      </c>
      <c r="C32" s="961"/>
      <c r="D32" s="961"/>
      <c r="E32" s="961"/>
      <c r="F32" s="961"/>
      <c r="G32" s="961"/>
      <c r="H32" s="961"/>
      <c r="I32" s="961"/>
      <c r="J32" s="944">
        <v>29.085000000000001</v>
      </c>
      <c r="K32" s="961">
        <v>29.085000000000001</v>
      </c>
      <c r="L32" s="961"/>
      <c r="M32" s="961"/>
      <c r="N32" s="961"/>
      <c r="O32" s="961">
        <v>0</v>
      </c>
      <c r="P32" s="962"/>
      <c r="Q32" s="962"/>
      <c r="R32" s="961"/>
      <c r="S32" s="961"/>
      <c r="T32" s="961"/>
      <c r="U32" s="961"/>
      <c r="V32" s="963"/>
      <c r="W32" s="963"/>
      <c r="X32" s="963"/>
    </row>
    <row r="33" spans="1:24" s="837" customFormat="1" ht="75">
      <c r="A33" s="959" t="s">
        <v>2469</v>
      </c>
      <c r="B33" s="960" t="s">
        <v>2531</v>
      </c>
      <c r="C33" s="961"/>
      <c r="D33" s="961"/>
      <c r="E33" s="961"/>
      <c r="F33" s="961"/>
      <c r="G33" s="961"/>
      <c r="H33" s="961"/>
      <c r="I33" s="961"/>
      <c r="J33" s="944">
        <v>43.085000000000001</v>
      </c>
      <c r="K33" s="961">
        <v>43.085000000000001</v>
      </c>
      <c r="L33" s="961"/>
      <c r="M33" s="961"/>
      <c r="N33" s="961"/>
      <c r="O33" s="961">
        <v>0</v>
      </c>
      <c r="P33" s="962"/>
      <c r="Q33" s="962"/>
      <c r="R33" s="961"/>
      <c r="S33" s="961"/>
      <c r="T33" s="961"/>
      <c r="U33" s="961"/>
      <c r="V33" s="963"/>
      <c r="W33" s="963"/>
      <c r="X33" s="963"/>
    </row>
    <row r="34" spans="1:24" s="837" customFormat="1" ht="93.75">
      <c r="A34" s="959" t="s">
        <v>2469</v>
      </c>
      <c r="B34" s="960" t="s">
        <v>2532</v>
      </c>
      <c r="C34" s="961"/>
      <c r="D34" s="961"/>
      <c r="E34" s="961"/>
      <c r="F34" s="961"/>
      <c r="G34" s="961"/>
      <c r="H34" s="961"/>
      <c r="I34" s="961"/>
      <c r="J34" s="944">
        <v>3093.866</v>
      </c>
      <c r="K34" s="961">
        <v>3093.866</v>
      </c>
      <c r="L34" s="961"/>
      <c r="M34" s="961"/>
      <c r="N34" s="961"/>
      <c r="O34" s="961">
        <v>0</v>
      </c>
      <c r="P34" s="962"/>
      <c r="Q34" s="962"/>
      <c r="R34" s="961"/>
      <c r="S34" s="961"/>
      <c r="T34" s="961"/>
      <c r="U34" s="961"/>
      <c r="V34" s="963"/>
      <c r="W34" s="963"/>
      <c r="X34" s="963"/>
    </row>
    <row r="35" spans="1:24" s="837" customFormat="1" ht="56.25">
      <c r="A35" s="959" t="s">
        <v>2469</v>
      </c>
      <c r="B35" s="960" t="s">
        <v>2533</v>
      </c>
      <c r="C35" s="961"/>
      <c r="D35" s="961"/>
      <c r="E35" s="961"/>
      <c r="F35" s="961"/>
      <c r="G35" s="961"/>
      <c r="H35" s="961"/>
      <c r="I35" s="961"/>
      <c r="J35" s="944">
        <v>2347.1579999999999</v>
      </c>
      <c r="K35" s="961">
        <v>2347.1579999999999</v>
      </c>
      <c r="L35" s="961"/>
      <c r="M35" s="961"/>
      <c r="N35" s="961"/>
      <c r="O35" s="961">
        <v>0</v>
      </c>
      <c r="P35" s="962"/>
      <c r="Q35" s="962"/>
      <c r="R35" s="961"/>
      <c r="S35" s="961"/>
      <c r="T35" s="961"/>
      <c r="U35" s="961"/>
      <c r="V35" s="963"/>
      <c r="W35" s="963"/>
      <c r="X35" s="963"/>
    </row>
    <row r="36" spans="1:24" s="837" customFormat="1" ht="75">
      <c r="A36" s="959" t="s">
        <v>2469</v>
      </c>
      <c r="B36" s="960" t="s">
        <v>2534</v>
      </c>
      <c r="C36" s="961"/>
      <c r="D36" s="961"/>
      <c r="E36" s="961"/>
      <c r="F36" s="961"/>
      <c r="G36" s="961"/>
      <c r="H36" s="961"/>
      <c r="I36" s="961"/>
      <c r="J36" s="944">
        <v>940.04200000000003</v>
      </c>
      <c r="K36" s="961">
        <v>940.04200000000003</v>
      </c>
      <c r="L36" s="961"/>
      <c r="M36" s="961"/>
      <c r="N36" s="961"/>
      <c r="O36" s="961">
        <v>0</v>
      </c>
      <c r="P36" s="962"/>
      <c r="Q36" s="962"/>
      <c r="R36" s="961"/>
      <c r="S36" s="961"/>
      <c r="T36" s="961"/>
      <c r="U36" s="961"/>
      <c r="V36" s="963"/>
      <c r="W36" s="963"/>
      <c r="X36" s="963"/>
    </row>
    <row r="37" spans="1:24" s="837" customFormat="1" ht="56.25">
      <c r="A37" s="959" t="s">
        <v>2469</v>
      </c>
      <c r="B37" s="960" t="s">
        <v>2535</v>
      </c>
      <c r="C37" s="961"/>
      <c r="D37" s="961"/>
      <c r="E37" s="961"/>
      <c r="F37" s="961"/>
      <c r="G37" s="961"/>
      <c r="H37" s="961"/>
      <c r="I37" s="961"/>
      <c r="J37" s="944">
        <v>113.871</v>
      </c>
      <c r="K37" s="961">
        <v>113.871</v>
      </c>
      <c r="L37" s="961"/>
      <c r="M37" s="961"/>
      <c r="N37" s="961"/>
      <c r="O37" s="961">
        <v>0</v>
      </c>
      <c r="P37" s="962"/>
      <c r="Q37" s="962"/>
      <c r="R37" s="961"/>
      <c r="S37" s="961"/>
      <c r="T37" s="961"/>
      <c r="U37" s="961"/>
      <c r="V37" s="963"/>
      <c r="W37" s="963"/>
      <c r="X37" s="963"/>
    </row>
    <row r="38" spans="1:24" s="837" customFormat="1">
      <c r="A38" s="959" t="s">
        <v>1977</v>
      </c>
      <c r="B38" s="960" t="s">
        <v>2247</v>
      </c>
      <c r="C38" s="961"/>
      <c r="D38" s="961"/>
      <c r="E38" s="961"/>
      <c r="F38" s="961"/>
      <c r="G38" s="961"/>
      <c r="H38" s="961"/>
      <c r="I38" s="961"/>
      <c r="J38" s="944">
        <v>12486.715144</v>
      </c>
      <c r="K38" s="961">
        <v>12486.715144</v>
      </c>
      <c r="L38" s="961"/>
      <c r="M38" s="961"/>
      <c r="N38" s="961"/>
      <c r="O38" s="961">
        <v>0</v>
      </c>
      <c r="P38" s="962"/>
      <c r="Q38" s="962"/>
      <c r="R38" s="961"/>
      <c r="S38" s="961"/>
      <c r="T38" s="961"/>
      <c r="U38" s="961"/>
      <c r="V38" s="963"/>
      <c r="W38" s="963"/>
      <c r="X38" s="963"/>
    </row>
    <row r="39" spans="1:24" s="837" customFormat="1" ht="75">
      <c r="A39" s="959" t="s">
        <v>2469</v>
      </c>
      <c r="B39" s="960" t="s">
        <v>2281</v>
      </c>
      <c r="C39" s="961"/>
      <c r="D39" s="961"/>
      <c r="E39" s="961"/>
      <c r="F39" s="961"/>
      <c r="G39" s="961"/>
      <c r="H39" s="961"/>
      <c r="I39" s="961"/>
      <c r="J39" s="944">
        <v>4440</v>
      </c>
      <c r="K39" s="961">
        <v>4440</v>
      </c>
      <c r="L39" s="961"/>
      <c r="M39" s="961"/>
      <c r="N39" s="961"/>
      <c r="O39" s="961">
        <v>0</v>
      </c>
      <c r="P39" s="962"/>
      <c r="Q39" s="962"/>
      <c r="R39" s="961"/>
      <c r="S39" s="961"/>
      <c r="T39" s="961"/>
      <c r="U39" s="961"/>
      <c r="V39" s="963"/>
      <c r="W39" s="963"/>
      <c r="X39" s="963"/>
    </row>
    <row r="40" spans="1:24" s="837" customFormat="1" ht="37.5">
      <c r="A40" s="959" t="s">
        <v>2469</v>
      </c>
      <c r="B40" s="960" t="s">
        <v>2282</v>
      </c>
      <c r="C40" s="961"/>
      <c r="D40" s="961"/>
      <c r="E40" s="961"/>
      <c r="F40" s="961"/>
      <c r="G40" s="961"/>
      <c r="H40" s="961"/>
      <c r="I40" s="961"/>
      <c r="J40" s="944">
        <v>299.32400000000001</v>
      </c>
      <c r="K40" s="961">
        <v>299.32400000000001</v>
      </c>
      <c r="L40" s="961"/>
      <c r="M40" s="961"/>
      <c r="N40" s="961"/>
      <c r="O40" s="961">
        <v>0</v>
      </c>
      <c r="P40" s="962"/>
      <c r="Q40" s="962"/>
      <c r="R40" s="961"/>
      <c r="S40" s="961"/>
      <c r="T40" s="961"/>
      <c r="U40" s="961"/>
      <c r="V40" s="963"/>
      <c r="W40" s="963"/>
      <c r="X40" s="963"/>
    </row>
    <row r="41" spans="1:24" s="837" customFormat="1" ht="75">
      <c r="A41" s="959" t="s">
        <v>2469</v>
      </c>
      <c r="B41" s="960" t="s">
        <v>2536</v>
      </c>
      <c r="C41" s="961"/>
      <c r="D41" s="961"/>
      <c r="E41" s="961"/>
      <c r="F41" s="961"/>
      <c r="G41" s="961"/>
      <c r="H41" s="961"/>
      <c r="I41" s="961"/>
      <c r="J41" s="944">
        <v>94.484999999999999</v>
      </c>
      <c r="K41" s="961">
        <v>94.484999999999999</v>
      </c>
      <c r="L41" s="961"/>
      <c r="M41" s="961"/>
      <c r="N41" s="961"/>
      <c r="O41" s="961">
        <v>0</v>
      </c>
      <c r="P41" s="962"/>
      <c r="Q41" s="962"/>
      <c r="R41" s="961"/>
      <c r="S41" s="961"/>
      <c r="T41" s="961"/>
      <c r="U41" s="961"/>
      <c r="V41" s="963"/>
      <c r="W41" s="963"/>
      <c r="X41" s="963"/>
    </row>
    <row r="42" spans="1:24" s="837" customFormat="1" ht="75">
      <c r="A42" s="959" t="s">
        <v>2469</v>
      </c>
      <c r="B42" s="960" t="s">
        <v>2283</v>
      </c>
      <c r="C42" s="961"/>
      <c r="D42" s="961"/>
      <c r="E42" s="961"/>
      <c r="F42" s="961"/>
      <c r="G42" s="961"/>
      <c r="H42" s="961"/>
      <c r="I42" s="961"/>
      <c r="J42" s="944">
        <v>1484.4290000000001</v>
      </c>
      <c r="K42" s="961">
        <v>1484.4290000000001</v>
      </c>
      <c r="L42" s="961"/>
      <c r="M42" s="961"/>
      <c r="N42" s="961"/>
      <c r="O42" s="961">
        <v>0</v>
      </c>
      <c r="P42" s="962"/>
      <c r="Q42" s="962"/>
      <c r="R42" s="961"/>
      <c r="S42" s="961"/>
      <c r="T42" s="961"/>
      <c r="U42" s="961"/>
      <c r="V42" s="963"/>
      <c r="W42" s="963"/>
      <c r="X42" s="963"/>
    </row>
    <row r="43" spans="1:24" s="837" customFormat="1" ht="56.25">
      <c r="A43" s="959" t="s">
        <v>2469</v>
      </c>
      <c r="B43" s="960" t="s">
        <v>2284</v>
      </c>
      <c r="C43" s="961"/>
      <c r="D43" s="961"/>
      <c r="E43" s="961"/>
      <c r="F43" s="961"/>
      <c r="G43" s="961"/>
      <c r="H43" s="961"/>
      <c r="I43" s="961"/>
      <c r="J43" s="944">
        <v>146.143</v>
      </c>
      <c r="K43" s="961">
        <v>146.143</v>
      </c>
      <c r="L43" s="961"/>
      <c r="M43" s="961"/>
      <c r="N43" s="961"/>
      <c r="O43" s="961">
        <v>0</v>
      </c>
      <c r="P43" s="962"/>
      <c r="Q43" s="962"/>
      <c r="R43" s="961"/>
      <c r="S43" s="961"/>
      <c r="T43" s="961"/>
      <c r="U43" s="961"/>
      <c r="V43" s="963"/>
      <c r="W43" s="963"/>
      <c r="X43" s="963"/>
    </row>
    <row r="44" spans="1:24" s="837" customFormat="1" ht="75">
      <c r="A44" s="959" t="s">
        <v>2469</v>
      </c>
      <c r="B44" s="960" t="s">
        <v>2285</v>
      </c>
      <c r="C44" s="961"/>
      <c r="D44" s="961"/>
      <c r="E44" s="961"/>
      <c r="F44" s="961"/>
      <c r="G44" s="961"/>
      <c r="H44" s="961"/>
      <c r="I44" s="961"/>
      <c r="J44" s="944">
        <v>1593.9770000000001</v>
      </c>
      <c r="K44" s="961">
        <v>1593.9770000000001</v>
      </c>
      <c r="L44" s="961"/>
      <c r="M44" s="961"/>
      <c r="N44" s="961"/>
      <c r="O44" s="961">
        <v>0</v>
      </c>
      <c r="P44" s="962"/>
      <c r="Q44" s="962"/>
      <c r="R44" s="961"/>
      <c r="S44" s="961"/>
      <c r="T44" s="961"/>
      <c r="U44" s="961"/>
      <c r="V44" s="963"/>
      <c r="W44" s="963"/>
      <c r="X44" s="963"/>
    </row>
    <row r="45" spans="1:24" s="837" customFormat="1" ht="75">
      <c r="A45" s="959" t="s">
        <v>2469</v>
      </c>
      <c r="B45" s="960" t="s">
        <v>2286</v>
      </c>
      <c r="C45" s="961"/>
      <c r="D45" s="961"/>
      <c r="E45" s="961"/>
      <c r="F45" s="961"/>
      <c r="G45" s="961"/>
      <c r="H45" s="961"/>
      <c r="I45" s="961"/>
      <c r="J45" s="944">
        <v>2949.4431439999998</v>
      </c>
      <c r="K45" s="961">
        <v>2949.4431439999998</v>
      </c>
      <c r="L45" s="961"/>
      <c r="M45" s="961"/>
      <c r="N45" s="961"/>
      <c r="O45" s="961">
        <v>0</v>
      </c>
      <c r="P45" s="962"/>
      <c r="Q45" s="962"/>
      <c r="R45" s="961"/>
      <c r="S45" s="961"/>
      <c r="T45" s="961"/>
      <c r="U45" s="961"/>
      <c r="V45" s="963"/>
      <c r="W45" s="963"/>
      <c r="X45" s="963"/>
    </row>
    <row r="46" spans="1:24" s="837" customFormat="1" ht="37.5">
      <c r="A46" s="959" t="s">
        <v>2469</v>
      </c>
      <c r="B46" s="960" t="s">
        <v>2287</v>
      </c>
      <c r="C46" s="961"/>
      <c r="D46" s="961"/>
      <c r="E46" s="961"/>
      <c r="F46" s="961"/>
      <c r="G46" s="961"/>
      <c r="H46" s="961"/>
      <c r="I46" s="961"/>
      <c r="J46" s="944">
        <v>463.63499999999999</v>
      </c>
      <c r="K46" s="961">
        <v>463.63499999999999</v>
      </c>
      <c r="L46" s="961"/>
      <c r="M46" s="961"/>
      <c r="N46" s="961"/>
      <c r="O46" s="961">
        <v>0</v>
      </c>
      <c r="P46" s="962"/>
      <c r="Q46" s="962"/>
      <c r="R46" s="961"/>
      <c r="S46" s="961"/>
      <c r="T46" s="961"/>
      <c r="U46" s="961"/>
      <c r="V46" s="963"/>
      <c r="W46" s="963"/>
      <c r="X46" s="963"/>
    </row>
    <row r="47" spans="1:24" s="837" customFormat="1" ht="56.25">
      <c r="A47" s="959" t="s">
        <v>2469</v>
      </c>
      <c r="B47" s="960" t="s">
        <v>2288</v>
      </c>
      <c r="C47" s="961"/>
      <c r="D47" s="961"/>
      <c r="E47" s="961"/>
      <c r="F47" s="961"/>
      <c r="G47" s="961"/>
      <c r="H47" s="961"/>
      <c r="I47" s="961"/>
      <c r="J47" s="944">
        <v>1015.279</v>
      </c>
      <c r="K47" s="961">
        <v>1015.279</v>
      </c>
      <c r="L47" s="961"/>
      <c r="M47" s="961"/>
      <c r="N47" s="961"/>
      <c r="O47" s="961">
        <v>0</v>
      </c>
      <c r="P47" s="962"/>
      <c r="Q47" s="962"/>
      <c r="R47" s="961"/>
      <c r="S47" s="961"/>
      <c r="T47" s="961"/>
      <c r="U47" s="961"/>
      <c r="V47" s="963"/>
      <c r="W47" s="963"/>
      <c r="X47" s="963"/>
    </row>
    <row r="48" spans="1:24" s="837" customFormat="1">
      <c r="A48" s="959" t="s">
        <v>1978</v>
      </c>
      <c r="B48" s="960" t="s">
        <v>373</v>
      </c>
      <c r="C48" s="961"/>
      <c r="D48" s="961"/>
      <c r="E48" s="961"/>
      <c r="F48" s="961"/>
      <c r="G48" s="961"/>
      <c r="H48" s="961"/>
      <c r="I48" s="961"/>
      <c r="J48" s="944">
        <v>661.88499999999999</v>
      </c>
      <c r="K48" s="961">
        <v>661.88499999999999</v>
      </c>
      <c r="L48" s="961"/>
      <c r="M48" s="961"/>
      <c r="N48" s="961"/>
      <c r="O48" s="961">
        <v>0</v>
      </c>
      <c r="P48" s="962"/>
      <c r="Q48" s="962"/>
      <c r="R48" s="961"/>
      <c r="S48" s="961"/>
      <c r="T48" s="961"/>
      <c r="U48" s="961"/>
      <c r="V48" s="963"/>
      <c r="W48" s="963"/>
      <c r="X48" s="963"/>
    </row>
    <row r="49" spans="1:24" s="837" customFormat="1" ht="37.5">
      <c r="A49" s="959" t="s">
        <v>2469</v>
      </c>
      <c r="B49" s="960" t="s">
        <v>2538</v>
      </c>
      <c r="C49" s="961"/>
      <c r="D49" s="961"/>
      <c r="E49" s="961"/>
      <c r="F49" s="961"/>
      <c r="G49" s="961"/>
      <c r="H49" s="961"/>
      <c r="I49" s="961"/>
      <c r="J49" s="944">
        <v>4.8849999999999998</v>
      </c>
      <c r="K49" s="961">
        <v>4.8849999999999998</v>
      </c>
      <c r="L49" s="961"/>
      <c r="M49" s="961"/>
      <c r="N49" s="961"/>
      <c r="O49" s="961">
        <v>0</v>
      </c>
      <c r="P49" s="962"/>
      <c r="Q49" s="962"/>
      <c r="R49" s="961"/>
      <c r="S49" s="961"/>
      <c r="T49" s="961"/>
      <c r="U49" s="961"/>
      <c r="V49" s="963"/>
      <c r="W49" s="963"/>
      <c r="X49" s="963"/>
    </row>
    <row r="50" spans="1:24" s="837" customFormat="1" ht="37.5">
      <c r="A50" s="959" t="s">
        <v>2469</v>
      </c>
      <c r="B50" s="960" t="s">
        <v>2290</v>
      </c>
      <c r="C50" s="961"/>
      <c r="D50" s="961"/>
      <c r="E50" s="961"/>
      <c r="F50" s="961"/>
      <c r="G50" s="961"/>
      <c r="H50" s="961"/>
      <c r="I50" s="961"/>
      <c r="J50" s="944">
        <v>657</v>
      </c>
      <c r="K50" s="961">
        <v>657</v>
      </c>
      <c r="L50" s="961"/>
      <c r="M50" s="961"/>
      <c r="N50" s="961"/>
      <c r="O50" s="961">
        <v>0</v>
      </c>
      <c r="P50" s="962"/>
      <c r="Q50" s="962"/>
      <c r="R50" s="961"/>
      <c r="S50" s="961"/>
      <c r="T50" s="961"/>
      <c r="U50" s="961"/>
      <c r="V50" s="963"/>
      <c r="W50" s="963"/>
      <c r="X50" s="963"/>
    </row>
    <row r="51" spans="1:24" s="837" customFormat="1">
      <c r="A51" s="959" t="s">
        <v>1979</v>
      </c>
      <c r="B51" s="960" t="s">
        <v>525</v>
      </c>
      <c r="C51" s="961"/>
      <c r="D51" s="961"/>
      <c r="E51" s="961"/>
      <c r="F51" s="961"/>
      <c r="G51" s="961"/>
      <c r="H51" s="961"/>
      <c r="I51" s="961"/>
      <c r="J51" s="944">
        <v>1550.0840000000001</v>
      </c>
      <c r="K51" s="961">
        <v>1550.0840000000001</v>
      </c>
      <c r="L51" s="961"/>
      <c r="M51" s="961"/>
      <c r="N51" s="961"/>
      <c r="O51" s="961">
        <v>0</v>
      </c>
      <c r="P51" s="962"/>
      <c r="Q51" s="962"/>
      <c r="R51" s="961"/>
      <c r="S51" s="961"/>
      <c r="T51" s="961"/>
      <c r="U51" s="961"/>
      <c r="V51" s="963"/>
      <c r="W51" s="963"/>
      <c r="X51" s="963"/>
    </row>
    <row r="52" spans="1:24" s="837" customFormat="1" ht="37.5">
      <c r="A52" s="959" t="s">
        <v>2469</v>
      </c>
      <c r="B52" s="960" t="s">
        <v>2291</v>
      </c>
      <c r="C52" s="961"/>
      <c r="D52" s="961"/>
      <c r="E52" s="961"/>
      <c r="F52" s="961"/>
      <c r="G52" s="961"/>
      <c r="H52" s="961"/>
      <c r="I52" s="961"/>
      <c r="J52" s="944">
        <v>400.084</v>
      </c>
      <c r="K52" s="961">
        <v>400.084</v>
      </c>
      <c r="L52" s="961"/>
      <c r="M52" s="961"/>
      <c r="N52" s="961"/>
      <c r="O52" s="961">
        <v>0</v>
      </c>
      <c r="P52" s="962"/>
      <c r="Q52" s="962"/>
      <c r="R52" s="961"/>
      <c r="S52" s="961"/>
      <c r="T52" s="961"/>
      <c r="U52" s="961"/>
      <c r="V52" s="963"/>
      <c r="W52" s="963"/>
      <c r="X52" s="963"/>
    </row>
    <row r="53" spans="1:24" s="837" customFormat="1" ht="37.5">
      <c r="A53" s="959" t="s">
        <v>2469</v>
      </c>
      <c r="B53" s="960" t="s">
        <v>2292</v>
      </c>
      <c r="C53" s="961"/>
      <c r="D53" s="961"/>
      <c r="E53" s="961"/>
      <c r="F53" s="961"/>
      <c r="G53" s="961"/>
      <c r="H53" s="961"/>
      <c r="I53" s="961"/>
      <c r="J53" s="944">
        <v>1150</v>
      </c>
      <c r="K53" s="961">
        <v>1150</v>
      </c>
      <c r="L53" s="961"/>
      <c r="M53" s="961"/>
      <c r="N53" s="961"/>
      <c r="O53" s="961">
        <v>0</v>
      </c>
      <c r="P53" s="962"/>
      <c r="Q53" s="962"/>
      <c r="R53" s="961"/>
      <c r="S53" s="961"/>
      <c r="T53" s="961"/>
      <c r="U53" s="961"/>
      <c r="V53" s="963"/>
      <c r="W53" s="963"/>
      <c r="X53" s="963"/>
    </row>
    <row r="54" spans="1:24" s="837" customFormat="1">
      <c r="A54" s="959" t="s">
        <v>1980</v>
      </c>
      <c r="B54" s="960" t="s">
        <v>2252</v>
      </c>
      <c r="C54" s="961"/>
      <c r="D54" s="961"/>
      <c r="E54" s="961"/>
      <c r="F54" s="961"/>
      <c r="G54" s="961"/>
      <c r="H54" s="961"/>
      <c r="I54" s="961"/>
      <c r="J54" s="944">
        <v>27030.694027000001</v>
      </c>
      <c r="K54" s="961">
        <v>27030.694027000001</v>
      </c>
      <c r="L54" s="961"/>
      <c r="M54" s="961"/>
      <c r="N54" s="961"/>
      <c r="O54" s="961">
        <v>0</v>
      </c>
      <c r="P54" s="962"/>
      <c r="Q54" s="962"/>
      <c r="R54" s="961"/>
      <c r="S54" s="961"/>
      <c r="T54" s="961"/>
      <c r="U54" s="961"/>
      <c r="V54" s="963"/>
      <c r="W54" s="963"/>
      <c r="X54" s="963"/>
    </row>
    <row r="55" spans="1:24" s="837" customFormat="1" ht="75">
      <c r="A55" s="959" t="s">
        <v>2469</v>
      </c>
      <c r="B55" s="960" t="s">
        <v>2293</v>
      </c>
      <c r="C55" s="961"/>
      <c r="D55" s="961"/>
      <c r="E55" s="961"/>
      <c r="F55" s="961"/>
      <c r="G55" s="961"/>
      <c r="H55" s="961"/>
      <c r="I55" s="961"/>
      <c r="J55" s="944">
        <v>26875.074026999999</v>
      </c>
      <c r="K55" s="961">
        <v>26875.074026999999</v>
      </c>
      <c r="L55" s="961"/>
      <c r="M55" s="961"/>
      <c r="N55" s="961"/>
      <c r="O55" s="961">
        <v>0</v>
      </c>
      <c r="P55" s="962"/>
      <c r="Q55" s="962"/>
      <c r="R55" s="961"/>
      <c r="S55" s="961"/>
      <c r="T55" s="961"/>
      <c r="U55" s="961"/>
      <c r="V55" s="963"/>
      <c r="W55" s="963"/>
      <c r="X55" s="963"/>
    </row>
    <row r="56" spans="1:24" s="837" customFormat="1" ht="56.25">
      <c r="A56" s="959" t="s">
        <v>2469</v>
      </c>
      <c r="B56" s="960" t="s">
        <v>2539</v>
      </c>
      <c r="C56" s="961"/>
      <c r="D56" s="961"/>
      <c r="E56" s="961"/>
      <c r="F56" s="961"/>
      <c r="G56" s="961"/>
      <c r="H56" s="961"/>
      <c r="I56" s="961"/>
      <c r="J56" s="944">
        <v>72.25</v>
      </c>
      <c r="K56" s="961">
        <v>72.25</v>
      </c>
      <c r="L56" s="961"/>
      <c r="M56" s="961"/>
      <c r="N56" s="961"/>
      <c r="O56" s="961">
        <v>0</v>
      </c>
      <c r="P56" s="962"/>
      <c r="Q56" s="962"/>
      <c r="R56" s="961"/>
      <c r="S56" s="961"/>
      <c r="T56" s="961"/>
      <c r="U56" s="961"/>
      <c r="V56" s="963"/>
      <c r="W56" s="963"/>
      <c r="X56" s="963"/>
    </row>
    <row r="57" spans="1:24" s="837" customFormat="1" ht="56.25">
      <c r="A57" s="959" t="s">
        <v>2469</v>
      </c>
      <c r="B57" s="960" t="s">
        <v>2540</v>
      </c>
      <c r="C57" s="961"/>
      <c r="D57" s="961"/>
      <c r="E57" s="961"/>
      <c r="F57" s="961"/>
      <c r="G57" s="961"/>
      <c r="H57" s="961"/>
      <c r="I57" s="961"/>
      <c r="J57" s="944">
        <v>83.37</v>
      </c>
      <c r="K57" s="961">
        <v>83.37</v>
      </c>
      <c r="L57" s="961"/>
      <c r="M57" s="961"/>
      <c r="N57" s="961"/>
      <c r="O57" s="961">
        <v>0</v>
      </c>
      <c r="P57" s="962"/>
      <c r="Q57" s="962"/>
      <c r="R57" s="961"/>
      <c r="S57" s="961"/>
      <c r="T57" s="961"/>
      <c r="U57" s="961"/>
      <c r="V57" s="963"/>
      <c r="W57" s="963"/>
      <c r="X57" s="963"/>
    </row>
    <row r="58" spans="1:24" s="837" customFormat="1">
      <c r="A58" s="959" t="s">
        <v>1981</v>
      </c>
      <c r="B58" s="960" t="s">
        <v>1725</v>
      </c>
      <c r="C58" s="961"/>
      <c r="D58" s="961"/>
      <c r="E58" s="961"/>
      <c r="F58" s="961"/>
      <c r="G58" s="961"/>
      <c r="H58" s="961"/>
      <c r="I58" s="961"/>
      <c r="J58" s="944">
        <v>86404.985333000004</v>
      </c>
      <c r="K58" s="961">
        <v>86404.985333000004</v>
      </c>
      <c r="L58" s="961"/>
      <c r="M58" s="961"/>
      <c r="N58" s="961"/>
      <c r="O58" s="961">
        <v>0</v>
      </c>
      <c r="P58" s="962"/>
      <c r="Q58" s="962"/>
      <c r="R58" s="961"/>
      <c r="S58" s="961"/>
      <c r="T58" s="961"/>
      <c r="U58" s="961"/>
      <c r="V58" s="963"/>
      <c r="W58" s="963"/>
      <c r="X58" s="963"/>
    </row>
    <row r="59" spans="1:24" s="837" customFormat="1" ht="37.5">
      <c r="A59" s="959" t="s">
        <v>2469</v>
      </c>
      <c r="B59" s="960" t="s">
        <v>2294</v>
      </c>
      <c r="C59" s="961"/>
      <c r="D59" s="961"/>
      <c r="E59" s="961"/>
      <c r="F59" s="961"/>
      <c r="G59" s="961"/>
      <c r="H59" s="961"/>
      <c r="I59" s="961"/>
      <c r="J59" s="944">
        <v>900</v>
      </c>
      <c r="K59" s="961">
        <v>900</v>
      </c>
      <c r="L59" s="961"/>
      <c r="M59" s="961"/>
      <c r="N59" s="961"/>
      <c r="O59" s="961">
        <v>0</v>
      </c>
      <c r="P59" s="962"/>
      <c r="Q59" s="962"/>
      <c r="R59" s="961"/>
      <c r="S59" s="961"/>
      <c r="T59" s="961"/>
      <c r="U59" s="961"/>
      <c r="V59" s="963"/>
      <c r="W59" s="963"/>
      <c r="X59" s="963"/>
    </row>
    <row r="60" spans="1:24" s="837" customFormat="1" ht="37.5">
      <c r="A60" s="959" t="s">
        <v>2469</v>
      </c>
      <c r="B60" s="960" t="s">
        <v>2295</v>
      </c>
      <c r="C60" s="961"/>
      <c r="D60" s="961"/>
      <c r="E60" s="961"/>
      <c r="F60" s="961"/>
      <c r="G60" s="961"/>
      <c r="H60" s="961"/>
      <c r="I60" s="961"/>
      <c r="J60" s="944">
        <v>389.80099999999999</v>
      </c>
      <c r="K60" s="961">
        <v>389.80099999999999</v>
      </c>
      <c r="L60" s="961"/>
      <c r="M60" s="961"/>
      <c r="N60" s="961"/>
      <c r="O60" s="961">
        <v>0</v>
      </c>
      <c r="P60" s="962"/>
      <c r="Q60" s="962"/>
      <c r="R60" s="961"/>
      <c r="S60" s="961"/>
      <c r="T60" s="961"/>
      <c r="U60" s="961"/>
      <c r="V60" s="963"/>
      <c r="W60" s="963"/>
      <c r="X60" s="963"/>
    </row>
    <row r="61" spans="1:24" s="837" customFormat="1" ht="37.5">
      <c r="A61" s="959" t="s">
        <v>2469</v>
      </c>
      <c r="B61" s="960" t="s">
        <v>2541</v>
      </c>
      <c r="C61" s="961"/>
      <c r="D61" s="961"/>
      <c r="E61" s="961"/>
      <c r="F61" s="961"/>
      <c r="G61" s="961"/>
      <c r="H61" s="961"/>
      <c r="I61" s="961"/>
      <c r="J61" s="944">
        <v>209.38900000000001</v>
      </c>
      <c r="K61" s="961">
        <v>209.38900000000001</v>
      </c>
      <c r="L61" s="961"/>
      <c r="M61" s="961"/>
      <c r="N61" s="961"/>
      <c r="O61" s="961">
        <v>0</v>
      </c>
      <c r="P61" s="962"/>
      <c r="Q61" s="962"/>
      <c r="R61" s="961"/>
      <c r="S61" s="961"/>
      <c r="T61" s="961"/>
      <c r="U61" s="961"/>
      <c r="V61" s="963"/>
      <c r="W61" s="963"/>
      <c r="X61" s="963"/>
    </row>
    <row r="62" spans="1:24" s="837" customFormat="1" ht="37.5">
      <c r="A62" s="959" t="s">
        <v>2469</v>
      </c>
      <c r="B62" s="960" t="s">
        <v>2296</v>
      </c>
      <c r="C62" s="961"/>
      <c r="D62" s="961"/>
      <c r="E62" s="961"/>
      <c r="F62" s="961"/>
      <c r="G62" s="961"/>
      <c r="H62" s="961"/>
      <c r="I62" s="961"/>
      <c r="J62" s="944">
        <v>96.92</v>
      </c>
      <c r="K62" s="961">
        <v>96.92</v>
      </c>
      <c r="L62" s="961"/>
      <c r="M62" s="961"/>
      <c r="N62" s="961"/>
      <c r="O62" s="961">
        <v>0</v>
      </c>
      <c r="P62" s="962"/>
      <c r="Q62" s="962"/>
      <c r="R62" s="961"/>
      <c r="S62" s="961"/>
      <c r="T62" s="961"/>
      <c r="U62" s="961"/>
      <c r="V62" s="963"/>
      <c r="W62" s="963"/>
      <c r="X62" s="963"/>
    </row>
    <row r="63" spans="1:24" s="837" customFormat="1" ht="56.25">
      <c r="A63" s="959" t="s">
        <v>2469</v>
      </c>
      <c r="B63" s="960" t="s">
        <v>2297</v>
      </c>
      <c r="C63" s="961"/>
      <c r="D63" s="961"/>
      <c r="E63" s="961"/>
      <c r="F63" s="961"/>
      <c r="G63" s="961"/>
      <c r="H63" s="961"/>
      <c r="I63" s="961"/>
      <c r="J63" s="944">
        <v>176.24302399999999</v>
      </c>
      <c r="K63" s="961">
        <v>176.24302399999999</v>
      </c>
      <c r="L63" s="961"/>
      <c r="M63" s="961"/>
      <c r="N63" s="961"/>
      <c r="O63" s="961">
        <v>0</v>
      </c>
      <c r="P63" s="962"/>
      <c r="Q63" s="962"/>
      <c r="R63" s="961"/>
      <c r="S63" s="961"/>
      <c r="T63" s="961"/>
      <c r="U63" s="961"/>
      <c r="V63" s="963"/>
      <c r="W63" s="963"/>
      <c r="X63" s="963"/>
    </row>
    <row r="64" spans="1:24" s="837" customFormat="1" ht="37.5">
      <c r="A64" s="959" t="s">
        <v>2469</v>
      </c>
      <c r="B64" s="960" t="s">
        <v>2298</v>
      </c>
      <c r="C64" s="961"/>
      <c r="D64" s="961"/>
      <c r="E64" s="961"/>
      <c r="F64" s="961"/>
      <c r="G64" s="961"/>
      <c r="H64" s="961"/>
      <c r="I64" s="961"/>
      <c r="J64" s="944">
        <v>44950.368000000002</v>
      </c>
      <c r="K64" s="961">
        <v>44950.368000000002</v>
      </c>
      <c r="L64" s="961"/>
      <c r="M64" s="961"/>
      <c r="N64" s="961"/>
      <c r="O64" s="961">
        <v>0</v>
      </c>
      <c r="P64" s="962"/>
      <c r="Q64" s="962"/>
      <c r="R64" s="961"/>
      <c r="S64" s="961"/>
      <c r="T64" s="961"/>
      <c r="U64" s="961"/>
      <c r="V64" s="963"/>
      <c r="W64" s="963"/>
      <c r="X64" s="963"/>
    </row>
    <row r="65" spans="1:24" s="837" customFormat="1" ht="56.25">
      <c r="A65" s="959" t="s">
        <v>2469</v>
      </c>
      <c r="B65" s="960" t="s">
        <v>2299</v>
      </c>
      <c r="C65" s="961"/>
      <c r="D65" s="961"/>
      <c r="E65" s="961"/>
      <c r="F65" s="961"/>
      <c r="G65" s="961"/>
      <c r="H65" s="961"/>
      <c r="I65" s="961"/>
      <c r="J65" s="944">
        <v>5122.643</v>
      </c>
      <c r="K65" s="961">
        <v>5122.643</v>
      </c>
      <c r="L65" s="961"/>
      <c r="M65" s="961"/>
      <c r="N65" s="961"/>
      <c r="O65" s="961">
        <v>0</v>
      </c>
      <c r="P65" s="962"/>
      <c r="Q65" s="962"/>
      <c r="R65" s="961"/>
      <c r="S65" s="961"/>
      <c r="T65" s="961"/>
      <c r="U65" s="961"/>
      <c r="V65" s="963"/>
      <c r="W65" s="963"/>
      <c r="X65" s="963"/>
    </row>
    <row r="66" spans="1:24" s="837" customFormat="1" ht="37.5">
      <c r="A66" s="959" t="s">
        <v>2469</v>
      </c>
      <c r="B66" s="960" t="s">
        <v>2300</v>
      </c>
      <c r="C66" s="961"/>
      <c r="D66" s="961"/>
      <c r="E66" s="961"/>
      <c r="F66" s="961"/>
      <c r="G66" s="961"/>
      <c r="H66" s="961"/>
      <c r="I66" s="961"/>
      <c r="J66" s="944">
        <v>5126.4750000000004</v>
      </c>
      <c r="K66" s="961">
        <v>5126.4750000000004</v>
      </c>
      <c r="L66" s="961"/>
      <c r="M66" s="961"/>
      <c r="N66" s="961"/>
      <c r="O66" s="961">
        <v>0</v>
      </c>
      <c r="P66" s="962"/>
      <c r="Q66" s="962"/>
      <c r="R66" s="961"/>
      <c r="S66" s="961"/>
      <c r="T66" s="961"/>
      <c r="U66" s="961"/>
      <c r="V66" s="963"/>
      <c r="W66" s="963"/>
      <c r="X66" s="963"/>
    </row>
    <row r="67" spans="1:24" s="837" customFormat="1" ht="56.25">
      <c r="A67" s="959" t="s">
        <v>2469</v>
      </c>
      <c r="B67" s="960" t="s">
        <v>2301</v>
      </c>
      <c r="C67" s="961"/>
      <c r="D67" s="961"/>
      <c r="E67" s="961"/>
      <c r="F67" s="961"/>
      <c r="G67" s="961"/>
      <c r="H67" s="961"/>
      <c r="I67" s="961"/>
      <c r="J67" s="944">
        <v>21914.002</v>
      </c>
      <c r="K67" s="961">
        <v>21914.002</v>
      </c>
      <c r="L67" s="961"/>
      <c r="M67" s="961"/>
      <c r="N67" s="961"/>
      <c r="O67" s="961">
        <v>0</v>
      </c>
      <c r="P67" s="962"/>
      <c r="Q67" s="962"/>
      <c r="R67" s="961"/>
      <c r="S67" s="961"/>
      <c r="T67" s="961"/>
      <c r="U67" s="961"/>
      <c r="V67" s="963"/>
      <c r="W67" s="963"/>
      <c r="X67" s="963"/>
    </row>
    <row r="68" spans="1:24" s="837" customFormat="1" ht="75">
      <c r="A68" s="959" t="s">
        <v>2469</v>
      </c>
      <c r="B68" s="960" t="s">
        <v>2302</v>
      </c>
      <c r="C68" s="961"/>
      <c r="D68" s="961"/>
      <c r="E68" s="961"/>
      <c r="F68" s="961"/>
      <c r="G68" s="961"/>
      <c r="H68" s="961"/>
      <c r="I68" s="961"/>
      <c r="J68" s="944">
        <v>73.709000000000003</v>
      </c>
      <c r="K68" s="961">
        <v>73.709000000000003</v>
      </c>
      <c r="L68" s="961"/>
      <c r="M68" s="961"/>
      <c r="N68" s="961"/>
      <c r="O68" s="961">
        <v>0</v>
      </c>
      <c r="P68" s="962"/>
      <c r="Q68" s="962"/>
      <c r="R68" s="961"/>
      <c r="S68" s="961"/>
      <c r="T68" s="961"/>
      <c r="U68" s="961"/>
      <c r="V68" s="963"/>
      <c r="W68" s="963"/>
      <c r="X68" s="963"/>
    </row>
    <row r="69" spans="1:24" s="837" customFormat="1" ht="56.25">
      <c r="A69" s="959" t="s">
        <v>2469</v>
      </c>
      <c r="B69" s="964" t="s">
        <v>2303</v>
      </c>
      <c r="C69" s="961"/>
      <c r="D69" s="961"/>
      <c r="E69" s="961"/>
      <c r="F69" s="961"/>
      <c r="G69" s="961"/>
      <c r="H69" s="961"/>
      <c r="I69" s="961"/>
      <c r="J69" s="944">
        <v>2397.6044999999999</v>
      </c>
      <c r="K69" s="961">
        <v>2397.6044999999999</v>
      </c>
      <c r="L69" s="961"/>
      <c r="M69" s="961"/>
      <c r="N69" s="961"/>
      <c r="O69" s="961">
        <v>0</v>
      </c>
      <c r="P69" s="962"/>
      <c r="Q69" s="962"/>
      <c r="R69" s="961"/>
      <c r="S69" s="961"/>
      <c r="T69" s="961"/>
      <c r="U69" s="961"/>
      <c r="V69" s="963"/>
      <c r="W69" s="963"/>
      <c r="X69" s="963"/>
    </row>
    <row r="70" spans="1:24" s="837" customFormat="1" ht="75">
      <c r="A70" s="959" t="s">
        <v>2469</v>
      </c>
      <c r="B70" s="964" t="s">
        <v>2304</v>
      </c>
      <c r="C70" s="961"/>
      <c r="D70" s="961"/>
      <c r="E70" s="961"/>
      <c r="F70" s="961"/>
      <c r="G70" s="961"/>
      <c r="H70" s="961"/>
      <c r="I70" s="961"/>
      <c r="J70" s="944">
        <v>3069.9998089999999</v>
      </c>
      <c r="K70" s="961">
        <v>3069.9998089999999</v>
      </c>
      <c r="L70" s="961"/>
      <c r="M70" s="961"/>
      <c r="N70" s="961"/>
      <c r="O70" s="961">
        <v>0</v>
      </c>
      <c r="P70" s="962"/>
      <c r="Q70" s="962"/>
      <c r="R70" s="961"/>
      <c r="S70" s="961"/>
      <c r="T70" s="961"/>
      <c r="U70" s="961"/>
      <c r="V70" s="963"/>
      <c r="W70" s="963"/>
      <c r="X70" s="963"/>
    </row>
    <row r="71" spans="1:24" s="837" customFormat="1" ht="56.25">
      <c r="A71" s="959" t="s">
        <v>2469</v>
      </c>
      <c r="B71" s="964" t="s">
        <v>2542</v>
      </c>
      <c r="C71" s="961"/>
      <c r="D71" s="961"/>
      <c r="E71" s="961"/>
      <c r="F71" s="961"/>
      <c r="G71" s="961"/>
      <c r="H71" s="961"/>
      <c r="I71" s="961"/>
      <c r="J71" s="944">
        <v>705.78200000000004</v>
      </c>
      <c r="K71" s="961">
        <v>705.78200000000004</v>
      </c>
      <c r="L71" s="961"/>
      <c r="M71" s="961"/>
      <c r="N71" s="961"/>
      <c r="O71" s="961">
        <v>0</v>
      </c>
      <c r="P71" s="962"/>
      <c r="Q71" s="962"/>
      <c r="R71" s="961"/>
      <c r="S71" s="961"/>
      <c r="T71" s="961"/>
      <c r="U71" s="961"/>
      <c r="V71" s="963"/>
      <c r="W71" s="963"/>
      <c r="X71" s="963"/>
    </row>
    <row r="72" spans="1:24" s="837" customFormat="1" ht="56.25">
      <c r="A72" s="959" t="s">
        <v>2469</v>
      </c>
      <c r="B72" s="964" t="s">
        <v>2543</v>
      </c>
      <c r="C72" s="961"/>
      <c r="D72" s="961"/>
      <c r="E72" s="961"/>
      <c r="F72" s="961"/>
      <c r="G72" s="961"/>
      <c r="H72" s="961"/>
      <c r="I72" s="961"/>
      <c r="J72" s="944">
        <v>1272.049</v>
      </c>
      <c r="K72" s="961">
        <v>1272.049</v>
      </c>
      <c r="L72" s="961"/>
      <c r="M72" s="961"/>
      <c r="N72" s="961"/>
      <c r="O72" s="961">
        <v>0</v>
      </c>
      <c r="P72" s="962"/>
      <c r="Q72" s="962"/>
      <c r="R72" s="961"/>
      <c r="S72" s="961"/>
      <c r="T72" s="961"/>
      <c r="U72" s="961"/>
      <c r="V72" s="963"/>
      <c r="W72" s="963"/>
      <c r="X72" s="963"/>
    </row>
    <row r="73" spans="1:24" s="837" customFormat="1">
      <c r="A73" s="959" t="s">
        <v>1982</v>
      </c>
      <c r="B73" s="964" t="s">
        <v>2253</v>
      </c>
      <c r="C73" s="961"/>
      <c r="D73" s="961"/>
      <c r="E73" s="961"/>
      <c r="F73" s="961"/>
      <c r="G73" s="961"/>
      <c r="H73" s="961"/>
      <c r="I73" s="961"/>
      <c r="J73" s="944">
        <v>5743.634</v>
      </c>
      <c r="K73" s="961">
        <v>5743.634</v>
      </c>
      <c r="L73" s="961"/>
      <c r="M73" s="961"/>
      <c r="N73" s="961"/>
      <c r="O73" s="961">
        <v>0</v>
      </c>
      <c r="P73" s="962"/>
      <c r="Q73" s="962"/>
      <c r="R73" s="961"/>
      <c r="S73" s="961"/>
      <c r="T73" s="961"/>
      <c r="U73" s="961"/>
      <c r="V73" s="963"/>
      <c r="W73" s="963"/>
      <c r="X73" s="963"/>
    </row>
    <row r="74" spans="1:24" s="837" customFormat="1" ht="56.25">
      <c r="A74" s="959" t="s">
        <v>2469</v>
      </c>
      <c r="B74" s="964" t="s">
        <v>2305</v>
      </c>
      <c r="C74" s="961"/>
      <c r="D74" s="961"/>
      <c r="E74" s="961"/>
      <c r="F74" s="961"/>
      <c r="G74" s="961"/>
      <c r="H74" s="961"/>
      <c r="I74" s="961"/>
      <c r="J74" s="944">
        <v>5743.634</v>
      </c>
      <c r="K74" s="961">
        <v>5743.634</v>
      </c>
      <c r="L74" s="961"/>
      <c r="M74" s="961"/>
      <c r="N74" s="961"/>
      <c r="O74" s="961">
        <v>0</v>
      </c>
      <c r="P74" s="962"/>
      <c r="Q74" s="962"/>
      <c r="R74" s="961"/>
      <c r="S74" s="961"/>
      <c r="T74" s="961"/>
      <c r="U74" s="961"/>
      <c r="V74" s="963"/>
      <c r="W74" s="963"/>
      <c r="X74" s="963"/>
    </row>
    <row r="75" spans="1:24" s="837" customFormat="1">
      <c r="A75" s="959" t="s">
        <v>1983</v>
      </c>
      <c r="B75" s="964" t="s">
        <v>451</v>
      </c>
      <c r="C75" s="961"/>
      <c r="D75" s="961"/>
      <c r="E75" s="961"/>
      <c r="F75" s="961"/>
      <c r="G75" s="961"/>
      <c r="H75" s="961"/>
      <c r="I75" s="961"/>
      <c r="J75" s="944">
        <v>1526.076</v>
      </c>
      <c r="K75" s="961">
        <v>1526.076</v>
      </c>
      <c r="L75" s="961"/>
      <c r="M75" s="961"/>
      <c r="N75" s="961"/>
      <c r="O75" s="961">
        <v>0</v>
      </c>
      <c r="P75" s="962"/>
      <c r="Q75" s="962"/>
      <c r="R75" s="961"/>
      <c r="S75" s="961"/>
      <c r="T75" s="961"/>
      <c r="U75" s="961"/>
      <c r="V75" s="963"/>
      <c r="W75" s="963"/>
      <c r="X75" s="963"/>
    </row>
    <row r="76" spans="1:24" s="837" customFormat="1" ht="75">
      <c r="A76" s="959" t="s">
        <v>2469</v>
      </c>
      <c r="B76" s="964" t="s">
        <v>2306</v>
      </c>
      <c r="C76" s="961"/>
      <c r="D76" s="961"/>
      <c r="E76" s="961"/>
      <c r="F76" s="961"/>
      <c r="G76" s="961"/>
      <c r="H76" s="961"/>
      <c r="I76" s="961"/>
      <c r="J76" s="944">
        <v>1526.076</v>
      </c>
      <c r="K76" s="961">
        <v>1526.076</v>
      </c>
      <c r="L76" s="961"/>
      <c r="M76" s="961"/>
      <c r="N76" s="961"/>
      <c r="O76" s="961">
        <v>0</v>
      </c>
      <c r="P76" s="962"/>
      <c r="Q76" s="962"/>
      <c r="R76" s="961"/>
      <c r="S76" s="961"/>
      <c r="T76" s="961"/>
      <c r="U76" s="961"/>
      <c r="V76" s="963"/>
      <c r="W76" s="963"/>
      <c r="X76" s="963"/>
    </row>
    <row r="77" spans="1:24" s="837" customFormat="1">
      <c r="A77" s="959" t="s">
        <v>1984</v>
      </c>
      <c r="B77" s="964" t="s">
        <v>2254</v>
      </c>
      <c r="C77" s="961"/>
      <c r="D77" s="961"/>
      <c r="E77" s="961"/>
      <c r="F77" s="961"/>
      <c r="G77" s="961"/>
      <c r="H77" s="961"/>
      <c r="I77" s="961"/>
      <c r="J77" s="944">
        <v>319.52788099999998</v>
      </c>
      <c r="K77" s="961">
        <v>319.52788099999998</v>
      </c>
      <c r="L77" s="961"/>
      <c r="M77" s="961"/>
      <c r="N77" s="961"/>
      <c r="O77" s="961">
        <v>0</v>
      </c>
      <c r="P77" s="962"/>
      <c r="Q77" s="962"/>
      <c r="R77" s="961"/>
      <c r="S77" s="961"/>
      <c r="T77" s="961"/>
      <c r="U77" s="961"/>
      <c r="V77" s="963"/>
      <c r="W77" s="963"/>
      <c r="X77" s="963"/>
    </row>
    <row r="78" spans="1:24" s="837" customFormat="1" ht="37.5">
      <c r="A78" s="959" t="s">
        <v>2469</v>
      </c>
      <c r="B78" s="964" t="s">
        <v>2544</v>
      </c>
      <c r="C78" s="961"/>
      <c r="D78" s="961"/>
      <c r="E78" s="961"/>
      <c r="F78" s="961"/>
      <c r="G78" s="961"/>
      <c r="H78" s="961"/>
      <c r="I78" s="961"/>
      <c r="J78" s="944">
        <v>319.52788099999998</v>
      </c>
      <c r="K78" s="961">
        <v>319.52788099999998</v>
      </c>
      <c r="L78" s="961"/>
      <c r="M78" s="961"/>
      <c r="N78" s="961"/>
      <c r="O78" s="961">
        <v>0</v>
      </c>
      <c r="P78" s="962"/>
      <c r="Q78" s="962"/>
      <c r="R78" s="961"/>
      <c r="S78" s="961"/>
      <c r="T78" s="961"/>
      <c r="U78" s="961"/>
      <c r="V78" s="963"/>
      <c r="W78" s="963"/>
      <c r="X78" s="963"/>
    </row>
    <row r="79" spans="1:24" s="837" customFormat="1">
      <c r="A79" s="959" t="s">
        <v>1985</v>
      </c>
      <c r="B79" s="964" t="s">
        <v>557</v>
      </c>
      <c r="C79" s="961"/>
      <c r="D79" s="961"/>
      <c r="E79" s="961"/>
      <c r="F79" s="961"/>
      <c r="G79" s="961"/>
      <c r="H79" s="961"/>
      <c r="I79" s="961"/>
      <c r="J79" s="944">
        <v>832.721</v>
      </c>
      <c r="K79" s="961">
        <v>832.721</v>
      </c>
      <c r="L79" s="961"/>
      <c r="M79" s="961"/>
      <c r="N79" s="961"/>
      <c r="O79" s="961">
        <v>0</v>
      </c>
      <c r="P79" s="962"/>
      <c r="Q79" s="962"/>
      <c r="R79" s="961"/>
      <c r="S79" s="961"/>
      <c r="T79" s="961"/>
      <c r="U79" s="961"/>
      <c r="V79" s="963"/>
      <c r="W79" s="963"/>
      <c r="X79" s="963"/>
    </row>
    <row r="80" spans="1:24" s="837" customFormat="1" ht="37.5">
      <c r="A80" s="959" t="s">
        <v>2469</v>
      </c>
      <c r="B80" s="964" t="s">
        <v>2307</v>
      </c>
      <c r="C80" s="961"/>
      <c r="D80" s="961"/>
      <c r="E80" s="961"/>
      <c r="F80" s="961"/>
      <c r="G80" s="961"/>
      <c r="H80" s="961"/>
      <c r="I80" s="961"/>
      <c r="J80" s="944">
        <v>832.721</v>
      </c>
      <c r="K80" s="961">
        <v>832.721</v>
      </c>
      <c r="L80" s="961"/>
      <c r="M80" s="961"/>
      <c r="N80" s="961"/>
      <c r="O80" s="961">
        <v>0</v>
      </c>
      <c r="P80" s="962"/>
      <c r="Q80" s="962"/>
      <c r="R80" s="961"/>
      <c r="S80" s="961"/>
      <c r="T80" s="961"/>
      <c r="U80" s="961"/>
      <c r="V80" s="963"/>
      <c r="W80" s="963"/>
      <c r="X80" s="963"/>
    </row>
    <row r="81" spans="1:24" s="837" customFormat="1">
      <c r="A81" s="959" t="s">
        <v>1986</v>
      </c>
      <c r="B81" s="964" t="s">
        <v>2545</v>
      </c>
      <c r="C81" s="961"/>
      <c r="D81" s="961"/>
      <c r="E81" s="961"/>
      <c r="F81" s="961"/>
      <c r="G81" s="961"/>
      <c r="H81" s="961"/>
      <c r="I81" s="961"/>
      <c r="J81" s="944">
        <v>39153.347070999997</v>
      </c>
      <c r="K81" s="961">
        <v>39153.347070999997</v>
      </c>
      <c r="L81" s="961"/>
      <c r="M81" s="961"/>
      <c r="N81" s="961"/>
      <c r="O81" s="961">
        <v>0</v>
      </c>
      <c r="P81" s="962"/>
      <c r="Q81" s="962"/>
      <c r="R81" s="961"/>
      <c r="S81" s="961"/>
      <c r="T81" s="961"/>
      <c r="U81" s="961"/>
      <c r="V81" s="963"/>
      <c r="W81" s="963"/>
      <c r="X81" s="963"/>
    </row>
    <row r="82" spans="1:24" s="837" customFormat="1" ht="37.5">
      <c r="A82" s="959" t="s">
        <v>2469</v>
      </c>
      <c r="B82" s="964" t="s">
        <v>2521</v>
      </c>
      <c r="C82" s="961"/>
      <c r="D82" s="961"/>
      <c r="E82" s="961"/>
      <c r="F82" s="961"/>
      <c r="G82" s="961"/>
      <c r="H82" s="961"/>
      <c r="I82" s="961"/>
      <c r="J82" s="944">
        <v>39153.347070999997</v>
      </c>
      <c r="K82" s="961">
        <v>39153.347070999997</v>
      </c>
      <c r="L82" s="961"/>
      <c r="M82" s="961"/>
      <c r="N82" s="961"/>
      <c r="O82" s="961">
        <v>0</v>
      </c>
      <c r="P82" s="962"/>
      <c r="Q82" s="962"/>
      <c r="R82" s="961"/>
      <c r="S82" s="961"/>
      <c r="T82" s="961"/>
      <c r="U82" s="961"/>
      <c r="V82" s="963"/>
      <c r="W82" s="963"/>
      <c r="X82" s="963"/>
    </row>
    <row r="83" spans="1:24" s="837" customFormat="1">
      <c r="A83" s="959" t="s">
        <v>1987</v>
      </c>
      <c r="B83" s="964" t="s">
        <v>2520</v>
      </c>
      <c r="C83" s="961"/>
      <c r="D83" s="961"/>
      <c r="E83" s="961"/>
      <c r="F83" s="961"/>
      <c r="G83" s="961"/>
      <c r="H83" s="961"/>
      <c r="I83" s="961"/>
      <c r="J83" s="944">
        <v>495110.99056399998</v>
      </c>
      <c r="K83" s="961">
        <v>495110.99056399998</v>
      </c>
      <c r="L83" s="961"/>
      <c r="M83" s="961"/>
      <c r="N83" s="961"/>
      <c r="O83" s="961">
        <v>0</v>
      </c>
      <c r="P83" s="962"/>
      <c r="Q83" s="962"/>
      <c r="R83" s="961"/>
      <c r="S83" s="961"/>
      <c r="T83" s="961"/>
      <c r="U83" s="961"/>
      <c r="V83" s="963"/>
      <c r="W83" s="963"/>
      <c r="X83" s="963"/>
    </row>
    <row r="84" spans="1:24" s="837" customFormat="1" ht="37.5">
      <c r="A84" s="959" t="s">
        <v>2469</v>
      </c>
      <c r="B84" s="964" t="s">
        <v>2521</v>
      </c>
      <c r="C84" s="961"/>
      <c r="D84" s="961"/>
      <c r="E84" s="961"/>
      <c r="F84" s="961"/>
      <c r="G84" s="961"/>
      <c r="H84" s="961"/>
      <c r="I84" s="961"/>
      <c r="J84" s="944">
        <v>10000</v>
      </c>
      <c r="K84" s="961">
        <v>10000</v>
      </c>
      <c r="L84" s="961"/>
      <c r="M84" s="961"/>
      <c r="N84" s="961"/>
      <c r="O84" s="961">
        <v>0</v>
      </c>
      <c r="P84" s="962"/>
      <c r="Q84" s="962"/>
      <c r="R84" s="961"/>
      <c r="S84" s="961"/>
      <c r="T84" s="961"/>
      <c r="U84" s="961"/>
      <c r="V84" s="963"/>
      <c r="W84" s="963"/>
      <c r="X84" s="963"/>
    </row>
    <row r="85" spans="1:24" s="837" customFormat="1" ht="37.5">
      <c r="A85" s="959" t="s">
        <v>2469</v>
      </c>
      <c r="B85" s="964" t="s">
        <v>2546</v>
      </c>
      <c r="C85" s="961"/>
      <c r="D85" s="961"/>
      <c r="E85" s="961"/>
      <c r="F85" s="961"/>
      <c r="G85" s="961"/>
      <c r="H85" s="961"/>
      <c r="I85" s="961"/>
      <c r="J85" s="944">
        <v>19376</v>
      </c>
      <c r="K85" s="961">
        <v>19376</v>
      </c>
      <c r="L85" s="961"/>
      <c r="M85" s="961"/>
      <c r="N85" s="961"/>
      <c r="O85" s="961">
        <v>0</v>
      </c>
      <c r="P85" s="962"/>
      <c r="Q85" s="962"/>
      <c r="R85" s="961"/>
      <c r="S85" s="961"/>
      <c r="T85" s="961"/>
      <c r="U85" s="961"/>
      <c r="V85" s="963"/>
      <c r="W85" s="963"/>
      <c r="X85" s="963"/>
    </row>
    <row r="86" spans="1:24" s="837" customFormat="1">
      <c r="A86" s="959" t="s">
        <v>2469</v>
      </c>
      <c r="B86" s="964" t="s">
        <v>2308</v>
      </c>
      <c r="C86" s="961"/>
      <c r="D86" s="961"/>
      <c r="E86" s="961"/>
      <c r="F86" s="961"/>
      <c r="G86" s="961"/>
      <c r="H86" s="961"/>
      <c r="I86" s="961"/>
      <c r="J86" s="944">
        <v>41529.218000000001</v>
      </c>
      <c r="K86" s="961">
        <v>41529.218000000001</v>
      </c>
      <c r="L86" s="961"/>
      <c r="M86" s="961"/>
      <c r="N86" s="961"/>
      <c r="O86" s="961">
        <v>0</v>
      </c>
      <c r="P86" s="962"/>
      <c r="Q86" s="962"/>
      <c r="R86" s="961"/>
      <c r="S86" s="961"/>
      <c r="T86" s="961"/>
      <c r="U86" s="961"/>
      <c r="V86" s="963"/>
      <c r="W86" s="963"/>
      <c r="X86" s="963"/>
    </row>
    <row r="87" spans="1:24" s="837" customFormat="1" ht="56.25">
      <c r="A87" s="959" t="s">
        <v>2469</v>
      </c>
      <c r="B87" s="964" t="s">
        <v>2547</v>
      </c>
      <c r="C87" s="961"/>
      <c r="D87" s="961"/>
      <c r="E87" s="961"/>
      <c r="F87" s="961"/>
      <c r="G87" s="961"/>
      <c r="H87" s="961"/>
      <c r="I87" s="961"/>
      <c r="J87" s="944">
        <v>4897.8445000000002</v>
      </c>
      <c r="K87" s="961">
        <v>4897.8445000000002</v>
      </c>
      <c r="L87" s="961"/>
      <c r="M87" s="961"/>
      <c r="N87" s="961"/>
      <c r="O87" s="961">
        <v>0</v>
      </c>
      <c r="P87" s="962"/>
      <c r="Q87" s="962"/>
      <c r="R87" s="961"/>
      <c r="S87" s="961"/>
      <c r="T87" s="961"/>
      <c r="U87" s="961"/>
      <c r="V87" s="963"/>
      <c r="W87" s="963"/>
      <c r="X87" s="963"/>
    </row>
    <row r="88" spans="1:24" s="837" customFormat="1" ht="37.5">
      <c r="A88" s="959" t="s">
        <v>2469</v>
      </c>
      <c r="B88" s="964" t="s">
        <v>2548</v>
      </c>
      <c r="C88" s="961"/>
      <c r="D88" s="961"/>
      <c r="E88" s="961"/>
      <c r="F88" s="961"/>
      <c r="G88" s="961"/>
      <c r="H88" s="961"/>
      <c r="I88" s="961"/>
      <c r="J88" s="944">
        <v>28.189</v>
      </c>
      <c r="K88" s="961">
        <v>28.189</v>
      </c>
      <c r="L88" s="961"/>
      <c r="M88" s="961"/>
      <c r="N88" s="961"/>
      <c r="O88" s="961">
        <v>0</v>
      </c>
      <c r="P88" s="962"/>
      <c r="Q88" s="962"/>
      <c r="R88" s="961"/>
      <c r="S88" s="961"/>
      <c r="T88" s="961"/>
      <c r="U88" s="961"/>
      <c r="V88" s="963"/>
      <c r="W88" s="963"/>
      <c r="X88" s="963"/>
    </row>
    <row r="89" spans="1:24" s="837" customFormat="1" ht="56.25">
      <c r="A89" s="959" t="s">
        <v>2469</v>
      </c>
      <c r="B89" s="964" t="s">
        <v>2549</v>
      </c>
      <c r="C89" s="961"/>
      <c r="D89" s="961"/>
      <c r="E89" s="961"/>
      <c r="F89" s="961"/>
      <c r="G89" s="961"/>
      <c r="H89" s="961"/>
      <c r="I89" s="961"/>
      <c r="J89" s="944">
        <v>35.819000000000003</v>
      </c>
      <c r="K89" s="961">
        <v>35.819000000000003</v>
      </c>
      <c r="L89" s="961"/>
      <c r="M89" s="961"/>
      <c r="N89" s="961"/>
      <c r="O89" s="961">
        <v>0</v>
      </c>
      <c r="P89" s="962"/>
      <c r="Q89" s="962"/>
      <c r="R89" s="961"/>
      <c r="S89" s="961"/>
      <c r="T89" s="961"/>
      <c r="U89" s="961"/>
      <c r="V89" s="963"/>
      <c r="W89" s="963"/>
      <c r="X89" s="963"/>
    </row>
    <row r="90" spans="1:24" s="837" customFormat="1" ht="75">
      <c r="A90" s="959" t="s">
        <v>2469</v>
      </c>
      <c r="B90" s="964" t="s">
        <v>2550</v>
      </c>
      <c r="C90" s="961"/>
      <c r="D90" s="961"/>
      <c r="E90" s="961"/>
      <c r="F90" s="961"/>
      <c r="G90" s="961"/>
      <c r="H90" s="961"/>
      <c r="I90" s="961"/>
      <c r="J90" s="944">
        <v>234.30600000000001</v>
      </c>
      <c r="K90" s="961">
        <v>234.30600000000001</v>
      </c>
      <c r="L90" s="961"/>
      <c r="M90" s="961"/>
      <c r="N90" s="961"/>
      <c r="O90" s="961">
        <v>0</v>
      </c>
      <c r="P90" s="962"/>
      <c r="Q90" s="962"/>
      <c r="R90" s="961"/>
      <c r="S90" s="961"/>
      <c r="T90" s="961"/>
      <c r="U90" s="961"/>
      <c r="V90" s="963"/>
      <c r="W90" s="963"/>
      <c r="X90" s="963"/>
    </row>
    <row r="91" spans="1:24" s="837" customFormat="1" ht="37.5">
      <c r="A91" s="959" t="s">
        <v>2469</v>
      </c>
      <c r="B91" s="964" t="s">
        <v>2551</v>
      </c>
      <c r="C91" s="961"/>
      <c r="D91" s="961"/>
      <c r="E91" s="961"/>
      <c r="F91" s="961"/>
      <c r="G91" s="961"/>
      <c r="H91" s="961"/>
      <c r="I91" s="961"/>
      <c r="J91" s="944">
        <v>2.0979999999999999</v>
      </c>
      <c r="K91" s="961">
        <v>2.0979999999999999</v>
      </c>
      <c r="L91" s="961"/>
      <c r="M91" s="961"/>
      <c r="N91" s="961"/>
      <c r="O91" s="961">
        <v>0</v>
      </c>
      <c r="P91" s="962"/>
      <c r="Q91" s="962"/>
      <c r="R91" s="961"/>
      <c r="S91" s="961"/>
      <c r="T91" s="961"/>
      <c r="U91" s="961"/>
      <c r="V91" s="963"/>
      <c r="W91" s="963"/>
      <c r="X91" s="963"/>
    </row>
    <row r="92" spans="1:24" s="837" customFormat="1" ht="56.25">
      <c r="A92" s="959" t="s">
        <v>2469</v>
      </c>
      <c r="B92" s="964" t="s">
        <v>2309</v>
      </c>
      <c r="C92" s="961"/>
      <c r="D92" s="961"/>
      <c r="E92" s="961"/>
      <c r="F92" s="961"/>
      <c r="G92" s="961"/>
      <c r="H92" s="961"/>
      <c r="I92" s="961"/>
      <c r="J92" s="944">
        <v>23107.274000000001</v>
      </c>
      <c r="K92" s="961">
        <v>23107.274000000001</v>
      </c>
      <c r="L92" s="961"/>
      <c r="M92" s="961"/>
      <c r="N92" s="961"/>
      <c r="O92" s="961">
        <v>0</v>
      </c>
      <c r="P92" s="962"/>
      <c r="Q92" s="962"/>
      <c r="R92" s="961"/>
      <c r="S92" s="961"/>
      <c r="T92" s="961"/>
      <c r="U92" s="961"/>
      <c r="V92" s="963"/>
      <c r="W92" s="963"/>
      <c r="X92" s="963"/>
    </row>
    <row r="93" spans="1:24" s="837" customFormat="1" ht="93.75">
      <c r="A93" s="959" t="s">
        <v>2469</v>
      </c>
      <c r="B93" s="964" t="s">
        <v>2272</v>
      </c>
      <c r="C93" s="961"/>
      <c r="D93" s="961"/>
      <c r="E93" s="961"/>
      <c r="F93" s="961"/>
      <c r="G93" s="961"/>
      <c r="H93" s="961"/>
      <c r="I93" s="961"/>
      <c r="J93" s="944">
        <v>6629.9002099999998</v>
      </c>
      <c r="K93" s="961">
        <v>6629.9002099999998</v>
      </c>
      <c r="L93" s="961"/>
      <c r="M93" s="961"/>
      <c r="N93" s="961"/>
      <c r="O93" s="961">
        <v>0</v>
      </c>
      <c r="P93" s="962"/>
      <c r="Q93" s="962"/>
      <c r="R93" s="961"/>
      <c r="S93" s="961"/>
      <c r="T93" s="961"/>
      <c r="U93" s="961"/>
      <c r="V93" s="963"/>
      <c r="W93" s="963"/>
      <c r="X93" s="963"/>
    </row>
    <row r="94" spans="1:24" s="837" customFormat="1" ht="37.5">
      <c r="A94" s="959" t="s">
        <v>2469</v>
      </c>
      <c r="B94" s="964" t="s">
        <v>2280</v>
      </c>
      <c r="C94" s="961"/>
      <c r="D94" s="961"/>
      <c r="E94" s="961"/>
      <c r="F94" s="961"/>
      <c r="G94" s="961"/>
      <c r="H94" s="961"/>
      <c r="I94" s="961"/>
      <c r="J94" s="944">
        <v>3207</v>
      </c>
      <c r="K94" s="961">
        <v>3207</v>
      </c>
      <c r="L94" s="961"/>
      <c r="M94" s="961"/>
      <c r="N94" s="961"/>
      <c r="O94" s="961">
        <v>0</v>
      </c>
      <c r="P94" s="962"/>
      <c r="Q94" s="962"/>
      <c r="R94" s="961"/>
      <c r="S94" s="961"/>
      <c r="T94" s="961"/>
      <c r="U94" s="961"/>
      <c r="V94" s="963"/>
      <c r="W94" s="963"/>
      <c r="X94" s="963"/>
    </row>
    <row r="95" spans="1:24" s="837" customFormat="1" ht="56.25">
      <c r="A95" s="959" t="s">
        <v>2469</v>
      </c>
      <c r="B95" s="964" t="s">
        <v>2552</v>
      </c>
      <c r="C95" s="961"/>
      <c r="D95" s="961"/>
      <c r="E95" s="961"/>
      <c r="F95" s="961"/>
      <c r="G95" s="961"/>
      <c r="H95" s="961"/>
      <c r="I95" s="961"/>
      <c r="J95" s="944">
        <v>36.576000000000001</v>
      </c>
      <c r="K95" s="961">
        <v>36.576000000000001</v>
      </c>
      <c r="L95" s="961"/>
      <c r="M95" s="961"/>
      <c r="N95" s="961"/>
      <c r="O95" s="961">
        <v>0</v>
      </c>
      <c r="P95" s="962"/>
      <c r="Q95" s="962"/>
      <c r="R95" s="961"/>
      <c r="S95" s="961"/>
      <c r="T95" s="961"/>
      <c r="U95" s="961"/>
      <c r="V95" s="963"/>
      <c r="W95" s="963"/>
      <c r="X95" s="963"/>
    </row>
    <row r="96" spans="1:24" s="837" customFormat="1" ht="75">
      <c r="A96" s="959" t="s">
        <v>2469</v>
      </c>
      <c r="B96" s="964" t="s">
        <v>2553</v>
      </c>
      <c r="C96" s="961"/>
      <c r="D96" s="961"/>
      <c r="E96" s="961"/>
      <c r="F96" s="961"/>
      <c r="G96" s="961"/>
      <c r="H96" s="961"/>
      <c r="I96" s="961"/>
      <c r="J96" s="944">
        <v>3.1840000000000002</v>
      </c>
      <c r="K96" s="961">
        <v>3.1840000000000002</v>
      </c>
      <c r="L96" s="961"/>
      <c r="M96" s="961"/>
      <c r="N96" s="961"/>
      <c r="O96" s="961">
        <v>0</v>
      </c>
      <c r="P96" s="962"/>
      <c r="Q96" s="962"/>
      <c r="R96" s="961"/>
      <c r="S96" s="961"/>
      <c r="T96" s="961"/>
      <c r="U96" s="961"/>
      <c r="V96" s="963"/>
      <c r="W96" s="963"/>
      <c r="X96" s="963"/>
    </row>
    <row r="97" spans="1:24" s="837" customFormat="1" ht="37.5">
      <c r="A97" s="959" t="s">
        <v>2469</v>
      </c>
      <c r="B97" s="964" t="s">
        <v>2554</v>
      </c>
      <c r="C97" s="961"/>
      <c r="D97" s="961"/>
      <c r="E97" s="961"/>
      <c r="F97" s="961"/>
      <c r="G97" s="961"/>
      <c r="H97" s="961"/>
      <c r="I97" s="961"/>
      <c r="J97" s="944">
        <v>196.691</v>
      </c>
      <c r="K97" s="961">
        <v>196.691</v>
      </c>
      <c r="L97" s="961"/>
      <c r="M97" s="961"/>
      <c r="N97" s="961"/>
      <c r="O97" s="961">
        <v>0</v>
      </c>
      <c r="P97" s="962"/>
      <c r="Q97" s="962"/>
      <c r="R97" s="961"/>
      <c r="S97" s="961"/>
      <c r="T97" s="961"/>
      <c r="U97" s="961"/>
      <c r="V97" s="963"/>
      <c r="W97" s="963"/>
      <c r="X97" s="963"/>
    </row>
    <row r="98" spans="1:24" s="837" customFormat="1" ht="37.5">
      <c r="A98" s="959" t="s">
        <v>2469</v>
      </c>
      <c r="B98" s="964" t="s">
        <v>2555</v>
      </c>
      <c r="C98" s="961"/>
      <c r="D98" s="961"/>
      <c r="E98" s="961"/>
      <c r="F98" s="961"/>
      <c r="G98" s="961"/>
      <c r="H98" s="961"/>
      <c r="I98" s="961"/>
      <c r="J98" s="944">
        <v>173.786</v>
      </c>
      <c r="K98" s="961">
        <v>173.786</v>
      </c>
      <c r="L98" s="961"/>
      <c r="M98" s="961"/>
      <c r="N98" s="961"/>
      <c r="O98" s="961">
        <v>0</v>
      </c>
      <c r="P98" s="962"/>
      <c r="Q98" s="962"/>
      <c r="R98" s="961"/>
      <c r="S98" s="961"/>
      <c r="T98" s="961"/>
      <c r="U98" s="961"/>
      <c r="V98" s="963"/>
      <c r="W98" s="963"/>
      <c r="X98" s="963"/>
    </row>
    <row r="99" spans="1:24" s="837" customFormat="1" ht="75">
      <c r="A99" s="959" t="s">
        <v>2469</v>
      </c>
      <c r="B99" s="964" t="s">
        <v>2310</v>
      </c>
      <c r="C99" s="961"/>
      <c r="D99" s="961"/>
      <c r="E99" s="961"/>
      <c r="F99" s="961"/>
      <c r="G99" s="961"/>
      <c r="H99" s="961"/>
      <c r="I99" s="961"/>
      <c r="J99" s="944">
        <v>999.81</v>
      </c>
      <c r="K99" s="961">
        <v>999.81</v>
      </c>
      <c r="L99" s="961"/>
      <c r="M99" s="961"/>
      <c r="N99" s="961"/>
      <c r="O99" s="961">
        <v>0</v>
      </c>
      <c r="P99" s="962"/>
      <c r="Q99" s="962"/>
      <c r="R99" s="961"/>
      <c r="S99" s="961"/>
      <c r="T99" s="961"/>
      <c r="U99" s="961"/>
      <c r="V99" s="963"/>
      <c r="W99" s="963"/>
      <c r="X99" s="963"/>
    </row>
    <row r="100" spans="1:24" s="837" customFormat="1" ht="37.5">
      <c r="A100" s="959" t="s">
        <v>2469</v>
      </c>
      <c r="B100" s="964" t="s">
        <v>2556</v>
      </c>
      <c r="C100" s="961"/>
      <c r="D100" s="961"/>
      <c r="E100" s="961"/>
      <c r="F100" s="961"/>
      <c r="G100" s="961"/>
      <c r="H100" s="961"/>
      <c r="I100" s="961"/>
      <c r="J100" s="944">
        <v>176.452</v>
      </c>
      <c r="K100" s="961">
        <v>176.452</v>
      </c>
      <c r="L100" s="961"/>
      <c r="M100" s="961"/>
      <c r="N100" s="961"/>
      <c r="O100" s="961">
        <v>0</v>
      </c>
      <c r="P100" s="962"/>
      <c r="Q100" s="962"/>
      <c r="R100" s="961"/>
      <c r="S100" s="961"/>
      <c r="T100" s="961"/>
      <c r="U100" s="961"/>
      <c r="V100" s="963"/>
      <c r="W100" s="963"/>
      <c r="X100" s="963"/>
    </row>
    <row r="101" spans="1:24" s="837" customFormat="1" ht="37.5">
      <c r="A101" s="959" t="s">
        <v>2469</v>
      </c>
      <c r="B101" s="964" t="s">
        <v>2557</v>
      </c>
      <c r="C101" s="961"/>
      <c r="D101" s="961"/>
      <c r="E101" s="961"/>
      <c r="F101" s="961"/>
      <c r="G101" s="961"/>
      <c r="H101" s="961"/>
      <c r="I101" s="961"/>
      <c r="J101" s="944">
        <v>105.333</v>
      </c>
      <c r="K101" s="961">
        <v>105.333</v>
      </c>
      <c r="L101" s="961"/>
      <c r="M101" s="961"/>
      <c r="N101" s="961"/>
      <c r="O101" s="961">
        <v>0</v>
      </c>
      <c r="P101" s="962"/>
      <c r="Q101" s="962"/>
      <c r="R101" s="961"/>
      <c r="S101" s="961"/>
      <c r="T101" s="961"/>
      <c r="U101" s="961"/>
      <c r="V101" s="963"/>
      <c r="W101" s="963"/>
      <c r="X101" s="963"/>
    </row>
    <row r="102" spans="1:24" s="837" customFormat="1" ht="56.25">
      <c r="A102" s="959" t="s">
        <v>2469</v>
      </c>
      <c r="B102" s="964" t="s">
        <v>2311</v>
      </c>
      <c r="C102" s="961"/>
      <c r="D102" s="961"/>
      <c r="E102" s="961"/>
      <c r="F102" s="961"/>
      <c r="G102" s="961"/>
      <c r="H102" s="961"/>
      <c r="I102" s="961"/>
      <c r="J102" s="944">
        <v>1161.1790000000001</v>
      </c>
      <c r="K102" s="961">
        <v>1161.1790000000001</v>
      </c>
      <c r="L102" s="961"/>
      <c r="M102" s="961"/>
      <c r="N102" s="961"/>
      <c r="O102" s="961">
        <v>0</v>
      </c>
      <c r="P102" s="962"/>
      <c r="Q102" s="962"/>
      <c r="R102" s="961"/>
      <c r="S102" s="961"/>
      <c r="T102" s="961"/>
      <c r="U102" s="961"/>
      <c r="V102" s="963"/>
      <c r="W102" s="963"/>
      <c r="X102" s="963"/>
    </row>
    <row r="103" spans="1:24" s="837" customFormat="1" ht="37.5">
      <c r="A103" s="959" t="s">
        <v>2469</v>
      </c>
      <c r="B103" s="964" t="s">
        <v>2312</v>
      </c>
      <c r="C103" s="961"/>
      <c r="D103" s="961"/>
      <c r="E103" s="961"/>
      <c r="F103" s="961"/>
      <c r="G103" s="961"/>
      <c r="H103" s="961"/>
      <c r="I103" s="961"/>
      <c r="J103" s="944">
        <v>6430.5079999999998</v>
      </c>
      <c r="K103" s="961">
        <v>6430.5079999999998</v>
      </c>
      <c r="L103" s="961"/>
      <c r="M103" s="961"/>
      <c r="N103" s="961"/>
      <c r="O103" s="961">
        <v>0</v>
      </c>
      <c r="P103" s="962"/>
      <c r="Q103" s="962"/>
      <c r="R103" s="961"/>
      <c r="S103" s="961"/>
      <c r="T103" s="961"/>
      <c r="U103" s="961"/>
      <c r="V103" s="963"/>
      <c r="W103" s="963"/>
      <c r="X103" s="963"/>
    </row>
    <row r="104" spans="1:24" s="837" customFormat="1" ht="37.5">
      <c r="A104" s="959" t="s">
        <v>2469</v>
      </c>
      <c r="B104" s="964" t="s">
        <v>2313</v>
      </c>
      <c r="C104" s="961"/>
      <c r="D104" s="961"/>
      <c r="E104" s="961"/>
      <c r="F104" s="961"/>
      <c r="G104" s="961"/>
      <c r="H104" s="961"/>
      <c r="I104" s="961"/>
      <c r="J104" s="944">
        <v>1375.346</v>
      </c>
      <c r="K104" s="961">
        <v>1375.346</v>
      </c>
      <c r="L104" s="961"/>
      <c r="M104" s="961"/>
      <c r="N104" s="961"/>
      <c r="O104" s="961">
        <v>0</v>
      </c>
      <c r="P104" s="962"/>
      <c r="Q104" s="962"/>
      <c r="R104" s="961"/>
      <c r="S104" s="961"/>
      <c r="T104" s="961"/>
      <c r="U104" s="961"/>
      <c r="V104" s="963"/>
      <c r="W104" s="963"/>
      <c r="X104" s="963"/>
    </row>
    <row r="105" spans="1:24" s="837" customFormat="1" ht="37.5">
      <c r="A105" s="959" t="s">
        <v>2469</v>
      </c>
      <c r="B105" s="964" t="s">
        <v>2314</v>
      </c>
      <c r="C105" s="961"/>
      <c r="D105" s="961"/>
      <c r="E105" s="961"/>
      <c r="F105" s="961"/>
      <c r="G105" s="961"/>
      <c r="H105" s="961"/>
      <c r="I105" s="961"/>
      <c r="J105" s="944">
        <v>126.67400000000001</v>
      </c>
      <c r="K105" s="961">
        <v>126.67400000000001</v>
      </c>
      <c r="L105" s="961"/>
      <c r="M105" s="961"/>
      <c r="N105" s="961"/>
      <c r="O105" s="961">
        <v>0</v>
      </c>
      <c r="P105" s="962"/>
      <c r="Q105" s="962"/>
      <c r="R105" s="961"/>
      <c r="S105" s="961"/>
      <c r="T105" s="961"/>
      <c r="U105" s="961"/>
      <c r="V105" s="963"/>
      <c r="W105" s="963"/>
      <c r="X105" s="963"/>
    </row>
    <row r="106" spans="1:24" s="837" customFormat="1" ht="75">
      <c r="A106" s="959" t="s">
        <v>2469</v>
      </c>
      <c r="B106" s="964" t="s">
        <v>2281</v>
      </c>
      <c r="C106" s="961"/>
      <c r="D106" s="961"/>
      <c r="E106" s="961"/>
      <c r="F106" s="961"/>
      <c r="G106" s="961"/>
      <c r="H106" s="961"/>
      <c r="I106" s="961"/>
      <c r="J106" s="944">
        <v>600.851</v>
      </c>
      <c r="K106" s="961">
        <v>600.851</v>
      </c>
      <c r="L106" s="961"/>
      <c r="M106" s="961"/>
      <c r="N106" s="961"/>
      <c r="O106" s="961">
        <v>0</v>
      </c>
      <c r="P106" s="962"/>
      <c r="Q106" s="962"/>
      <c r="R106" s="961"/>
      <c r="S106" s="961"/>
      <c r="T106" s="961"/>
      <c r="U106" s="961"/>
      <c r="V106" s="963"/>
      <c r="W106" s="963"/>
      <c r="X106" s="963"/>
    </row>
    <row r="107" spans="1:24" s="837" customFormat="1" ht="75">
      <c r="A107" s="959" t="s">
        <v>2469</v>
      </c>
      <c r="B107" s="964" t="s">
        <v>2315</v>
      </c>
      <c r="C107" s="961"/>
      <c r="D107" s="961"/>
      <c r="E107" s="961"/>
      <c r="F107" s="961"/>
      <c r="G107" s="961"/>
      <c r="H107" s="961"/>
      <c r="I107" s="961"/>
      <c r="J107" s="944">
        <v>3987.7710000000002</v>
      </c>
      <c r="K107" s="961">
        <v>3987.7710000000002</v>
      </c>
      <c r="L107" s="961"/>
      <c r="M107" s="961"/>
      <c r="N107" s="961"/>
      <c r="O107" s="961">
        <v>0</v>
      </c>
      <c r="P107" s="962"/>
      <c r="Q107" s="962"/>
      <c r="R107" s="961"/>
      <c r="S107" s="961"/>
      <c r="T107" s="961"/>
      <c r="U107" s="961"/>
      <c r="V107" s="963"/>
      <c r="W107" s="963"/>
      <c r="X107" s="963"/>
    </row>
    <row r="108" spans="1:24" s="837" customFormat="1" ht="37.5">
      <c r="A108" s="959" t="s">
        <v>2469</v>
      </c>
      <c r="B108" s="964" t="s">
        <v>2558</v>
      </c>
      <c r="C108" s="961"/>
      <c r="D108" s="961"/>
      <c r="E108" s="961"/>
      <c r="F108" s="961"/>
      <c r="G108" s="961"/>
      <c r="H108" s="961"/>
      <c r="I108" s="961"/>
      <c r="J108" s="944">
        <v>485.22699999999998</v>
      </c>
      <c r="K108" s="961">
        <v>485.22699999999998</v>
      </c>
      <c r="L108" s="961"/>
      <c r="M108" s="961"/>
      <c r="N108" s="961"/>
      <c r="O108" s="961">
        <v>0</v>
      </c>
      <c r="P108" s="962"/>
      <c r="Q108" s="962"/>
      <c r="R108" s="961"/>
      <c r="S108" s="961"/>
      <c r="T108" s="961"/>
      <c r="U108" s="961"/>
      <c r="V108" s="963"/>
      <c r="W108" s="963"/>
      <c r="X108" s="963"/>
    </row>
    <row r="109" spans="1:24" s="837" customFormat="1" ht="37.5">
      <c r="A109" s="959" t="s">
        <v>2469</v>
      </c>
      <c r="B109" s="964" t="s">
        <v>2282</v>
      </c>
      <c r="C109" s="961"/>
      <c r="D109" s="961"/>
      <c r="E109" s="961"/>
      <c r="F109" s="961"/>
      <c r="G109" s="961"/>
      <c r="H109" s="961"/>
      <c r="I109" s="961"/>
      <c r="J109" s="944">
        <v>94.834000000000003</v>
      </c>
      <c r="K109" s="961">
        <v>94.834000000000003</v>
      </c>
      <c r="L109" s="961"/>
      <c r="M109" s="961"/>
      <c r="N109" s="961"/>
      <c r="O109" s="961">
        <v>0</v>
      </c>
      <c r="P109" s="962"/>
      <c r="Q109" s="962"/>
      <c r="R109" s="961"/>
      <c r="S109" s="961"/>
      <c r="T109" s="961"/>
      <c r="U109" s="961"/>
      <c r="V109" s="963"/>
      <c r="W109" s="963"/>
      <c r="X109" s="963"/>
    </row>
    <row r="110" spans="1:24" s="837" customFormat="1" ht="37.5">
      <c r="A110" s="959" t="s">
        <v>2469</v>
      </c>
      <c r="B110" s="964" t="s">
        <v>2275</v>
      </c>
      <c r="C110" s="961"/>
      <c r="D110" s="961"/>
      <c r="E110" s="961"/>
      <c r="F110" s="961"/>
      <c r="G110" s="961"/>
      <c r="H110" s="961"/>
      <c r="I110" s="961"/>
      <c r="J110" s="944">
        <v>919.01199999999994</v>
      </c>
      <c r="K110" s="961">
        <v>919.01199999999994</v>
      </c>
      <c r="L110" s="961"/>
      <c r="M110" s="961"/>
      <c r="N110" s="961"/>
      <c r="O110" s="961">
        <v>0</v>
      </c>
      <c r="P110" s="962"/>
      <c r="Q110" s="962"/>
      <c r="R110" s="961"/>
      <c r="S110" s="961"/>
      <c r="T110" s="961"/>
      <c r="U110" s="961"/>
      <c r="V110" s="963"/>
      <c r="W110" s="963"/>
      <c r="X110" s="963"/>
    </row>
    <row r="111" spans="1:24" s="837" customFormat="1" ht="37.5">
      <c r="A111" s="959" t="s">
        <v>2469</v>
      </c>
      <c r="B111" s="964" t="s">
        <v>2559</v>
      </c>
      <c r="C111" s="961"/>
      <c r="D111" s="961"/>
      <c r="E111" s="961"/>
      <c r="F111" s="961"/>
      <c r="G111" s="961"/>
      <c r="H111" s="961"/>
      <c r="I111" s="961"/>
      <c r="J111" s="944">
        <v>100</v>
      </c>
      <c r="K111" s="961">
        <v>100</v>
      </c>
      <c r="L111" s="961"/>
      <c r="M111" s="961"/>
      <c r="N111" s="961"/>
      <c r="O111" s="961">
        <v>0</v>
      </c>
      <c r="P111" s="962"/>
      <c r="Q111" s="962"/>
      <c r="R111" s="961"/>
      <c r="S111" s="961"/>
      <c r="T111" s="961"/>
      <c r="U111" s="961"/>
      <c r="V111" s="963"/>
      <c r="W111" s="963"/>
      <c r="X111" s="963"/>
    </row>
    <row r="112" spans="1:24" s="837" customFormat="1" ht="37.5">
      <c r="A112" s="959" t="s">
        <v>2469</v>
      </c>
      <c r="B112" s="964" t="s">
        <v>2560</v>
      </c>
      <c r="C112" s="961"/>
      <c r="D112" s="961"/>
      <c r="E112" s="961"/>
      <c r="F112" s="961"/>
      <c r="G112" s="961"/>
      <c r="H112" s="961"/>
      <c r="I112" s="961"/>
      <c r="J112" s="944">
        <v>6.234</v>
      </c>
      <c r="K112" s="961">
        <v>6.234</v>
      </c>
      <c r="L112" s="961"/>
      <c r="M112" s="961"/>
      <c r="N112" s="961"/>
      <c r="O112" s="961">
        <v>0</v>
      </c>
      <c r="P112" s="962"/>
      <c r="Q112" s="962"/>
      <c r="R112" s="961"/>
      <c r="S112" s="961"/>
      <c r="T112" s="961"/>
      <c r="U112" s="961"/>
      <c r="V112" s="963"/>
      <c r="W112" s="963"/>
      <c r="X112" s="963"/>
    </row>
    <row r="113" spans="1:24" s="837" customFormat="1" ht="56.25">
      <c r="A113" s="959" t="s">
        <v>2469</v>
      </c>
      <c r="B113" s="964" t="s">
        <v>2276</v>
      </c>
      <c r="C113" s="961"/>
      <c r="D113" s="961"/>
      <c r="E113" s="961"/>
      <c r="F113" s="961"/>
      <c r="G113" s="961"/>
      <c r="H113" s="961"/>
      <c r="I113" s="961"/>
      <c r="J113" s="944">
        <v>536.73400000000004</v>
      </c>
      <c r="K113" s="961">
        <v>536.73400000000004</v>
      </c>
      <c r="L113" s="961"/>
      <c r="M113" s="961"/>
      <c r="N113" s="961"/>
      <c r="O113" s="961">
        <v>0</v>
      </c>
      <c r="P113" s="962"/>
      <c r="Q113" s="962"/>
      <c r="R113" s="961"/>
      <c r="S113" s="961"/>
      <c r="T113" s="961"/>
      <c r="U113" s="961"/>
      <c r="V113" s="963"/>
      <c r="W113" s="963"/>
      <c r="X113" s="963"/>
    </row>
    <row r="114" spans="1:24" s="837" customFormat="1" ht="37.5">
      <c r="A114" s="959" t="s">
        <v>2469</v>
      </c>
      <c r="B114" s="964" t="s">
        <v>2316</v>
      </c>
      <c r="C114" s="961"/>
      <c r="D114" s="961"/>
      <c r="E114" s="961"/>
      <c r="F114" s="961"/>
      <c r="G114" s="961"/>
      <c r="H114" s="961"/>
      <c r="I114" s="961"/>
      <c r="J114" s="944">
        <v>20.902999999999999</v>
      </c>
      <c r="K114" s="961">
        <v>20.902999999999999</v>
      </c>
      <c r="L114" s="961"/>
      <c r="M114" s="961"/>
      <c r="N114" s="961"/>
      <c r="O114" s="961">
        <v>0</v>
      </c>
      <c r="P114" s="962"/>
      <c r="Q114" s="962"/>
      <c r="R114" s="961"/>
      <c r="S114" s="961"/>
      <c r="T114" s="961"/>
      <c r="U114" s="961"/>
      <c r="V114" s="963"/>
      <c r="W114" s="963"/>
      <c r="X114" s="963"/>
    </row>
    <row r="115" spans="1:24" s="837" customFormat="1" ht="56.25">
      <c r="A115" s="959" t="s">
        <v>2469</v>
      </c>
      <c r="B115" s="964" t="s">
        <v>2277</v>
      </c>
      <c r="C115" s="961"/>
      <c r="D115" s="961"/>
      <c r="E115" s="961"/>
      <c r="F115" s="961"/>
      <c r="G115" s="961"/>
      <c r="H115" s="961"/>
      <c r="I115" s="961"/>
      <c r="J115" s="944">
        <v>25158.440999999999</v>
      </c>
      <c r="K115" s="961">
        <v>25158.440999999999</v>
      </c>
      <c r="L115" s="961"/>
      <c r="M115" s="961"/>
      <c r="N115" s="961"/>
      <c r="O115" s="961">
        <v>0</v>
      </c>
      <c r="P115" s="962"/>
      <c r="Q115" s="962"/>
      <c r="R115" s="961"/>
      <c r="S115" s="961"/>
      <c r="T115" s="961"/>
      <c r="U115" s="961"/>
      <c r="V115" s="963"/>
      <c r="W115" s="963"/>
      <c r="X115" s="963"/>
    </row>
    <row r="116" spans="1:24" s="837" customFormat="1" ht="37.5">
      <c r="A116" s="959" t="s">
        <v>2469</v>
      </c>
      <c r="B116" s="964" t="s">
        <v>2317</v>
      </c>
      <c r="C116" s="961"/>
      <c r="D116" s="961"/>
      <c r="E116" s="961"/>
      <c r="F116" s="961"/>
      <c r="G116" s="961"/>
      <c r="H116" s="961"/>
      <c r="I116" s="961"/>
      <c r="J116" s="944">
        <v>6900.0320000000002</v>
      </c>
      <c r="K116" s="961">
        <v>6900.0320000000002</v>
      </c>
      <c r="L116" s="961"/>
      <c r="M116" s="961"/>
      <c r="N116" s="961"/>
      <c r="O116" s="961">
        <v>0</v>
      </c>
      <c r="P116" s="962"/>
      <c r="Q116" s="962"/>
      <c r="R116" s="961"/>
      <c r="S116" s="961"/>
      <c r="T116" s="961"/>
      <c r="U116" s="961"/>
      <c r="V116" s="963"/>
      <c r="W116" s="963"/>
      <c r="X116" s="963"/>
    </row>
    <row r="117" spans="1:24" s="837" customFormat="1" ht="56.25">
      <c r="A117" s="959" t="s">
        <v>2469</v>
      </c>
      <c r="B117" s="964" t="s">
        <v>2318</v>
      </c>
      <c r="C117" s="961"/>
      <c r="D117" s="961"/>
      <c r="E117" s="961"/>
      <c r="F117" s="961"/>
      <c r="G117" s="961"/>
      <c r="H117" s="961"/>
      <c r="I117" s="961"/>
      <c r="J117" s="944">
        <v>17621.007399999999</v>
      </c>
      <c r="K117" s="961">
        <v>17621.007399999999</v>
      </c>
      <c r="L117" s="961"/>
      <c r="M117" s="961"/>
      <c r="N117" s="961"/>
      <c r="O117" s="961">
        <v>0</v>
      </c>
      <c r="P117" s="962"/>
      <c r="Q117" s="962"/>
      <c r="R117" s="961"/>
      <c r="S117" s="961"/>
      <c r="T117" s="961"/>
      <c r="U117" s="961"/>
      <c r="V117" s="963"/>
      <c r="W117" s="963"/>
      <c r="X117" s="963"/>
    </row>
    <row r="118" spans="1:24" s="837" customFormat="1" ht="56.25">
      <c r="A118" s="959" t="s">
        <v>2469</v>
      </c>
      <c r="B118" s="964" t="s">
        <v>2561</v>
      </c>
      <c r="C118" s="961"/>
      <c r="D118" s="961"/>
      <c r="E118" s="961"/>
      <c r="F118" s="961"/>
      <c r="G118" s="961"/>
      <c r="H118" s="961"/>
      <c r="I118" s="961"/>
      <c r="J118" s="944">
        <v>168.43199999999999</v>
      </c>
      <c r="K118" s="961">
        <v>168.43199999999999</v>
      </c>
      <c r="L118" s="961"/>
      <c r="M118" s="961"/>
      <c r="N118" s="961"/>
      <c r="O118" s="961">
        <v>0</v>
      </c>
      <c r="P118" s="962"/>
      <c r="Q118" s="962"/>
      <c r="R118" s="961"/>
      <c r="S118" s="961"/>
      <c r="T118" s="961"/>
      <c r="U118" s="961"/>
      <c r="V118" s="963"/>
      <c r="W118" s="963"/>
      <c r="X118" s="963"/>
    </row>
    <row r="119" spans="1:24" s="837" customFormat="1" ht="56.25">
      <c r="A119" s="959" t="s">
        <v>2469</v>
      </c>
      <c r="B119" s="964" t="s">
        <v>2319</v>
      </c>
      <c r="C119" s="961"/>
      <c r="D119" s="961"/>
      <c r="E119" s="961"/>
      <c r="F119" s="961"/>
      <c r="G119" s="961"/>
      <c r="H119" s="961"/>
      <c r="I119" s="961"/>
      <c r="J119" s="944">
        <v>2531.3359999999998</v>
      </c>
      <c r="K119" s="961">
        <v>2531.3359999999998</v>
      </c>
      <c r="L119" s="961"/>
      <c r="M119" s="961"/>
      <c r="N119" s="961"/>
      <c r="O119" s="961">
        <v>0</v>
      </c>
      <c r="P119" s="962"/>
      <c r="Q119" s="962"/>
      <c r="R119" s="961"/>
      <c r="S119" s="961"/>
      <c r="T119" s="961"/>
      <c r="U119" s="961"/>
      <c r="V119" s="963"/>
      <c r="W119" s="963"/>
      <c r="X119" s="963"/>
    </row>
    <row r="120" spans="1:24" s="837" customFormat="1" ht="37.5">
      <c r="A120" s="959" t="s">
        <v>2469</v>
      </c>
      <c r="B120" s="964" t="s">
        <v>2320</v>
      </c>
      <c r="C120" s="961"/>
      <c r="D120" s="961"/>
      <c r="E120" s="961"/>
      <c r="F120" s="961"/>
      <c r="G120" s="961"/>
      <c r="H120" s="961"/>
      <c r="I120" s="961"/>
      <c r="J120" s="944">
        <v>615.91899999999998</v>
      </c>
      <c r="K120" s="961">
        <v>615.91899999999998</v>
      </c>
      <c r="L120" s="961"/>
      <c r="M120" s="961"/>
      <c r="N120" s="961"/>
      <c r="O120" s="961">
        <v>0</v>
      </c>
      <c r="P120" s="962"/>
      <c r="Q120" s="962"/>
      <c r="R120" s="961"/>
      <c r="S120" s="961"/>
      <c r="T120" s="961"/>
      <c r="U120" s="961"/>
      <c r="V120" s="963"/>
      <c r="W120" s="963"/>
      <c r="X120" s="963"/>
    </row>
    <row r="121" spans="1:24" s="837" customFormat="1" ht="37.5">
      <c r="A121" s="959" t="s">
        <v>2469</v>
      </c>
      <c r="B121" s="964" t="s">
        <v>2321</v>
      </c>
      <c r="C121" s="961"/>
      <c r="D121" s="961"/>
      <c r="E121" s="961"/>
      <c r="F121" s="961"/>
      <c r="G121" s="961"/>
      <c r="H121" s="961"/>
      <c r="I121" s="961"/>
      <c r="J121" s="944">
        <v>2938.422</v>
      </c>
      <c r="K121" s="961">
        <v>2938.422</v>
      </c>
      <c r="L121" s="961"/>
      <c r="M121" s="961"/>
      <c r="N121" s="961"/>
      <c r="O121" s="961">
        <v>0</v>
      </c>
      <c r="P121" s="962"/>
      <c r="Q121" s="962"/>
      <c r="R121" s="961"/>
      <c r="S121" s="961"/>
      <c r="T121" s="961"/>
      <c r="U121" s="961"/>
      <c r="V121" s="963"/>
      <c r="W121" s="963"/>
      <c r="X121" s="963"/>
    </row>
    <row r="122" spans="1:24" s="837" customFormat="1">
      <c r="A122" s="959" t="s">
        <v>2469</v>
      </c>
      <c r="B122" s="964" t="s">
        <v>2322</v>
      </c>
      <c r="C122" s="961"/>
      <c r="D122" s="961"/>
      <c r="E122" s="961"/>
      <c r="F122" s="961"/>
      <c r="G122" s="961"/>
      <c r="H122" s="961"/>
      <c r="I122" s="961"/>
      <c r="J122" s="944">
        <v>4699.223</v>
      </c>
      <c r="K122" s="961">
        <v>4699.223</v>
      </c>
      <c r="L122" s="961"/>
      <c r="M122" s="961"/>
      <c r="N122" s="961"/>
      <c r="O122" s="961">
        <v>0</v>
      </c>
      <c r="P122" s="962"/>
      <c r="Q122" s="962"/>
      <c r="R122" s="961"/>
      <c r="S122" s="961"/>
      <c r="T122" s="961"/>
      <c r="U122" s="961"/>
      <c r="V122" s="963"/>
      <c r="W122" s="963"/>
      <c r="X122" s="963"/>
    </row>
    <row r="123" spans="1:24" s="837" customFormat="1" ht="37.5">
      <c r="A123" s="959" t="s">
        <v>2469</v>
      </c>
      <c r="B123" s="964" t="s">
        <v>2562</v>
      </c>
      <c r="C123" s="961"/>
      <c r="D123" s="961"/>
      <c r="E123" s="961"/>
      <c r="F123" s="961"/>
      <c r="G123" s="961"/>
      <c r="H123" s="961"/>
      <c r="I123" s="961"/>
      <c r="J123" s="944">
        <v>5330</v>
      </c>
      <c r="K123" s="961">
        <v>5330</v>
      </c>
      <c r="L123" s="961"/>
      <c r="M123" s="961"/>
      <c r="N123" s="961"/>
      <c r="O123" s="961">
        <v>0</v>
      </c>
      <c r="P123" s="962"/>
      <c r="Q123" s="962"/>
      <c r="R123" s="961"/>
      <c r="S123" s="961"/>
      <c r="T123" s="961"/>
      <c r="U123" s="961"/>
      <c r="V123" s="963"/>
      <c r="W123" s="963"/>
      <c r="X123" s="963"/>
    </row>
    <row r="124" spans="1:24" s="837" customFormat="1" ht="37.5">
      <c r="A124" s="959" t="s">
        <v>2469</v>
      </c>
      <c r="B124" s="964" t="s">
        <v>2323</v>
      </c>
      <c r="C124" s="961"/>
      <c r="D124" s="961"/>
      <c r="E124" s="961"/>
      <c r="F124" s="961"/>
      <c r="G124" s="961"/>
      <c r="H124" s="961"/>
      <c r="I124" s="961"/>
      <c r="J124" s="944">
        <v>1950.6813</v>
      </c>
      <c r="K124" s="961">
        <v>1950.6813</v>
      </c>
      <c r="L124" s="961"/>
      <c r="M124" s="961"/>
      <c r="N124" s="961"/>
      <c r="O124" s="961">
        <v>0</v>
      </c>
      <c r="P124" s="962"/>
      <c r="Q124" s="962"/>
      <c r="R124" s="961"/>
      <c r="S124" s="961"/>
      <c r="T124" s="961"/>
      <c r="U124" s="961"/>
      <c r="V124" s="963"/>
      <c r="W124" s="963"/>
      <c r="X124" s="963"/>
    </row>
    <row r="125" spans="1:24" s="837" customFormat="1" ht="37.5">
      <c r="A125" s="959" t="s">
        <v>2469</v>
      </c>
      <c r="B125" s="964" t="s">
        <v>2324</v>
      </c>
      <c r="C125" s="961"/>
      <c r="D125" s="961"/>
      <c r="E125" s="961"/>
      <c r="F125" s="961"/>
      <c r="G125" s="961"/>
      <c r="H125" s="961"/>
      <c r="I125" s="961"/>
      <c r="J125" s="944">
        <v>1382.0650000000001</v>
      </c>
      <c r="K125" s="961">
        <v>1382.0650000000001</v>
      </c>
      <c r="L125" s="961"/>
      <c r="M125" s="961"/>
      <c r="N125" s="961"/>
      <c r="O125" s="961">
        <v>0</v>
      </c>
      <c r="P125" s="962"/>
      <c r="Q125" s="962"/>
      <c r="R125" s="961"/>
      <c r="S125" s="961"/>
      <c r="T125" s="961"/>
      <c r="U125" s="961"/>
      <c r="V125" s="963"/>
      <c r="W125" s="963"/>
      <c r="X125" s="963"/>
    </row>
    <row r="126" spans="1:24" s="837" customFormat="1" ht="75">
      <c r="A126" s="959" t="s">
        <v>2469</v>
      </c>
      <c r="B126" s="964" t="s">
        <v>2563</v>
      </c>
      <c r="C126" s="961"/>
      <c r="D126" s="961"/>
      <c r="E126" s="961"/>
      <c r="F126" s="961"/>
      <c r="G126" s="961"/>
      <c r="H126" s="961"/>
      <c r="I126" s="961"/>
      <c r="J126" s="944">
        <v>329.58917700000001</v>
      </c>
      <c r="K126" s="961">
        <v>329.58917700000001</v>
      </c>
      <c r="L126" s="961"/>
      <c r="M126" s="961"/>
      <c r="N126" s="961"/>
      <c r="O126" s="961">
        <v>0</v>
      </c>
      <c r="P126" s="962"/>
      <c r="Q126" s="962"/>
      <c r="R126" s="961"/>
      <c r="S126" s="961"/>
      <c r="T126" s="961"/>
      <c r="U126" s="961"/>
      <c r="V126" s="963"/>
      <c r="W126" s="963"/>
      <c r="X126" s="963"/>
    </row>
    <row r="127" spans="1:24" s="837" customFormat="1" ht="75">
      <c r="A127" s="959" t="s">
        <v>2469</v>
      </c>
      <c r="B127" s="964" t="s">
        <v>2564</v>
      </c>
      <c r="C127" s="961"/>
      <c r="D127" s="961"/>
      <c r="E127" s="961"/>
      <c r="F127" s="961"/>
      <c r="G127" s="961"/>
      <c r="H127" s="961"/>
      <c r="I127" s="961"/>
      <c r="J127" s="944">
        <v>5.2009999999999996</v>
      </c>
      <c r="K127" s="961">
        <v>5.2009999999999996</v>
      </c>
      <c r="L127" s="961"/>
      <c r="M127" s="961"/>
      <c r="N127" s="961"/>
      <c r="O127" s="961">
        <v>0</v>
      </c>
      <c r="P127" s="962"/>
      <c r="Q127" s="962"/>
      <c r="R127" s="961"/>
      <c r="S127" s="961"/>
      <c r="T127" s="961"/>
      <c r="U127" s="961"/>
      <c r="V127" s="963"/>
      <c r="W127" s="963"/>
      <c r="X127" s="963"/>
    </row>
    <row r="128" spans="1:24" s="837" customFormat="1" ht="93.75">
      <c r="A128" s="959" t="s">
        <v>2469</v>
      </c>
      <c r="B128" s="964" t="s">
        <v>2565</v>
      </c>
      <c r="C128" s="961"/>
      <c r="D128" s="961"/>
      <c r="E128" s="961"/>
      <c r="F128" s="961"/>
      <c r="G128" s="961"/>
      <c r="H128" s="961"/>
      <c r="I128" s="961"/>
      <c r="J128" s="944">
        <v>5042.7085999999999</v>
      </c>
      <c r="K128" s="961">
        <v>5042.7085999999999</v>
      </c>
      <c r="L128" s="961"/>
      <c r="M128" s="961"/>
      <c r="N128" s="961"/>
      <c r="O128" s="961">
        <v>0</v>
      </c>
      <c r="P128" s="962"/>
      <c r="Q128" s="962"/>
      <c r="R128" s="961"/>
      <c r="S128" s="961"/>
      <c r="T128" s="961"/>
      <c r="U128" s="961"/>
      <c r="V128" s="963"/>
      <c r="W128" s="963"/>
      <c r="X128" s="963"/>
    </row>
    <row r="129" spans="1:24" s="837" customFormat="1" ht="75">
      <c r="A129" s="959" t="s">
        <v>2469</v>
      </c>
      <c r="B129" s="964" t="s">
        <v>2566</v>
      </c>
      <c r="C129" s="961"/>
      <c r="D129" s="961"/>
      <c r="E129" s="961"/>
      <c r="F129" s="961"/>
      <c r="G129" s="961"/>
      <c r="H129" s="961"/>
      <c r="I129" s="961"/>
      <c r="J129" s="944">
        <v>429.20800000000003</v>
      </c>
      <c r="K129" s="961">
        <v>429.20800000000003</v>
      </c>
      <c r="L129" s="961"/>
      <c r="M129" s="961"/>
      <c r="N129" s="961"/>
      <c r="O129" s="961">
        <v>0</v>
      </c>
      <c r="P129" s="962"/>
      <c r="Q129" s="962"/>
      <c r="R129" s="961"/>
      <c r="S129" s="961"/>
      <c r="T129" s="961"/>
      <c r="U129" s="961"/>
      <c r="V129" s="963"/>
      <c r="W129" s="963"/>
      <c r="X129" s="963"/>
    </row>
    <row r="130" spans="1:24" s="837" customFormat="1" ht="37.5">
      <c r="A130" s="959" t="s">
        <v>2469</v>
      </c>
      <c r="B130" s="964" t="s">
        <v>2325</v>
      </c>
      <c r="C130" s="961"/>
      <c r="D130" s="961"/>
      <c r="E130" s="961"/>
      <c r="F130" s="961"/>
      <c r="G130" s="961"/>
      <c r="H130" s="961"/>
      <c r="I130" s="961"/>
      <c r="J130" s="944">
        <v>470.28699999999998</v>
      </c>
      <c r="K130" s="961">
        <v>470.28699999999998</v>
      </c>
      <c r="L130" s="961"/>
      <c r="M130" s="961"/>
      <c r="N130" s="961"/>
      <c r="O130" s="961">
        <v>0</v>
      </c>
      <c r="P130" s="962"/>
      <c r="Q130" s="962"/>
      <c r="R130" s="961"/>
      <c r="S130" s="961"/>
      <c r="T130" s="961"/>
      <c r="U130" s="961"/>
      <c r="V130" s="963"/>
      <c r="W130" s="963"/>
      <c r="X130" s="963"/>
    </row>
    <row r="131" spans="1:24" s="837" customFormat="1" ht="37.5">
      <c r="A131" s="959" t="s">
        <v>2469</v>
      </c>
      <c r="B131" s="964" t="s">
        <v>2326</v>
      </c>
      <c r="C131" s="961"/>
      <c r="D131" s="961"/>
      <c r="E131" s="961"/>
      <c r="F131" s="961"/>
      <c r="G131" s="961"/>
      <c r="H131" s="961"/>
      <c r="I131" s="961"/>
      <c r="J131" s="944">
        <v>2882.9650000000001</v>
      </c>
      <c r="K131" s="961">
        <v>2882.9650000000001</v>
      </c>
      <c r="L131" s="961"/>
      <c r="M131" s="961"/>
      <c r="N131" s="961"/>
      <c r="O131" s="961">
        <v>0</v>
      </c>
      <c r="P131" s="962"/>
      <c r="Q131" s="962"/>
      <c r="R131" s="961"/>
      <c r="S131" s="961"/>
      <c r="T131" s="961"/>
      <c r="U131" s="961"/>
      <c r="V131" s="963"/>
      <c r="W131" s="963"/>
      <c r="X131" s="963"/>
    </row>
    <row r="132" spans="1:24" s="837" customFormat="1" ht="37.5">
      <c r="A132" s="959" t="s">
        <v>2469</v>
      </c>
      <c r="B132" s="964" t="s">
        <v>2327</v>
      </c>
      <c r="C132" s="961"/>
      <c r="D132" s="961"/>
      <c r="E132" s="961"/>
      <c r="F132" s="961"/>
      <c r="G132" s="961"/>
      <c r="H132" s="961"/>
      <c r="I132" s="961"/>
      <c r="J132" s="944">
        <v>1900</v>
      </c>
      <c r="K132" s="961">
        <v>1900</v>
      </c>
      <c r="L132" s="961"/>
      <c r="M132" s="961"/>
      <c r="N132" s="961"/>
      <c r="O132" s="961">
        <v>0</v>
      </c>
      <c r="P132" s="962"/>
      <c r="Q132" s="962"/>
      <c r="R132" s="961"/>
      <c r="S132" s="961"/>
      <c r="T132" s="961"/>
      <c r="U132" s="961"/>
      <c r="V132" s="963"/>
      <c r="W132" s="963"/>
      <c r="X132" s="963"/>
    </row>
    <row r="133" spans="1:24" s="837" customFormat="1" ht="75">
      <c r="A133" s="959" t="s">
        <v>2469</v>
      </c>
      <c r="B133" s="964" t="s">
        <v>2567</v>
      </c>
      <c r="C133" s="961"/>
      <c r="D133" s="961"/>
      <c r="E133" s="961"/>
      <c r="F133" s="961"/>
      <c r="G133" s="961"/>
      <c r="H133" s="961"/>
      <c r="I133" s="961"/>
      <c r="J133" s="944">
        <v>16.266999999999999</v>
      </c>
      <c r="K133" s="961">
        <v>16.266999999999999</v>
      </c>
      <c r="L133" s="961"/>
      <c r="M133" s="961"/>
      <c r="N133" s="961"/>
      <c r="O133" s="961">
        <v>0</v>
      </c>
      <c r="P133" s="962"/>
      <c r="Q133" s="962"/>
      <c r="R133" s="961"/>
      <c r="S133" s="961"/>
      <c r="T133" s="961"/>
      <c r="U133" s="961"/>
      <c r="V133" s="963"/>
      <c r="W133" s="963"/>
      <c r="X133" s="963"/>
    </row>
    <row r="134" spans="1:24" s="837" customFormat="1" ht="37.5">
      <c r="A134" s="959" t="s">
        <v>2469</v>
      </c>
      <c r="B134" s="964" t="s">
        <v>2328</v>
      </c>
      <c r="C134" s="961"/>
      <c r="D134" s="961"/>
      <c r="E134" s="961"/>
      <c r="F134" s="961"/>
      <c r="G134" s="961"/>
      <c r="H134" s="961"/>
      <c r="I134" s="961"/>
      <c r="J134" s="944">
        <v>1860</v>
      </c>
      <c r="K134" s="961">
        <v>1860</v>
      </c>
      <c r="L134" s="961"/>
      <c r="M134" s="961"/>
      <c r="N134" s="961"/>
      <c r="O134" s="961">
        <v>0</v>
      </c>
      <c r="P134" s="962"/>
      <c r="Q134" s="962"/>
      <c r="R134" s="961"/>
      <c r="S134" s="961"/>
      <c r="T134" s="961"/>
      <c r="U134" s="961"/>
      <c r="V134" s="963"/>
      <c r="W134" s="963"/>
      <c r="X134" s="963"/>
    </row>
    <row r="135" spans="1:24" s="837" customFormat="1" ht="37.5">
      <c r="A135" s="959" t="s">
        <v>2469</v>
      </c>
      <c r="B135" s="964" t="s">
        <v>2329</v>
      </c>
      <c r="C135" s="961"/>
      <c r="D135" s="961"/>
      <c r="E135" s="961"/>
      <c r="F135" s="961"/>
      <c r="G135" s="961"/>
      <c r="H135" s="961"/>
      <c r="I135" s="961"/>
      <c r="J135" s="944">
        <v>4965.2920000000004</v>
      </c>
      <c r="K135" s="961">
        <v>4965.2920000000004</v>
      </c>
      <c r="L135" s="961"/>
      <c r="M135" s="961"/>
      <c r="N135" s="961"/>
      <c r="O135" s="961">
        <v>0</v>
      </c>
      <c r="P135" s="962"/>
      <c r="Q135" s="962"/>
      <c r="R135" s="961"/>
      <c r="S135" s="961"/>
      <c r="T135" s="961"/>
      <c r="U135" s="961"/>
      <c r="V135" s="963"/>
      <c r="W135" s="963"/>
      <c r="X135" s="963"/>
    </row>
    <row r="136" spans="1:24" s="837" customFormat="1" ht="37.5">
      <c r="A136" s="959" t="s">
        <v>2469</v>
      </c>
      <c r="B136" s="964" t="s">
        <v>2330</v>
      </c>
      <c r="C136" s="961"/>
      <c r="D136" s="961"/>
      <c r="E136" s="961"/>
      <c r="F136" s="961"/>
      <c r="G136" s="961"/>
      <c r="H136" s="961"/>
      <c r="I136" s="961"/>
      <c r="J136" s="944">
        <v>1643.2670000000001</v>
      </c>
      <c r="K136" s="961">
        <v>1643.2670000000001</v>
      </c>
      <c r="L136" s="961"/>
      <c r="M136" s="961"/>
      <c r="N136" s="961"/>
      <c r="O136" s="961">
        <v>0</v>
      </c>
      <c r="P136" s="962"/>
      <c r="Q136" s="962"/>
      <c r="R136" s="961"/>
      <c r="S136" s="961"/>
      <c r="T136" s="961"/>
      <c r="U136" s="961"/>
      <c r="V136" s="963"/>
      <c r="W136" s="963"/>
      <c r="X136" s="963"/>
    </row>
    <row r="137" spans="1:24" s="837" customFormat="1" ht="56.25">
      <c r="A137" s="959" t="s">
        <v>2469</v>
      </c>
      <c r="B137" s="964" t="s">
        <v>2331</v>
      </c>
      <c r="C137" s="961"/>
      <c r="D137" s="961"/>
      <c r="E137" s="961"/>
      <c r="F137" s="961"/>
      <c r="G137" s="961"/>
      <c r="H137" s="961"/>
      <c r="I137" s="961"/>
      <c r="J137" s="944">
        <v>2155.422</v>
      </c>
      <c r="K137" s="961">
        <v>2155.422</v>
      </c>
      <c r="L137" s="961"/>
      <c r="M137" s="961"/>
      <c r="N137" s="961"/>
      <c r="O137" s="961">
        <v>0</v>
      </c>
      <c r="P137" s="962"/>
      <c r="Q137" s="962"/>
      <c r="R137" s="961"/>
      <c r="S137" s="961"/>
      <c r="T137" s="961"/>
      <c r="U137" s="961"/>
      <c r="V137" s="963"/>
      <c r="W137" s="963"/>
      <c r="X137" s="963"/>
    </row>
    <row r="138" spans="1:24" s="837" customFormat="1" ht="75">
      <c r="A138" s="959" t="s">
        <v>2469</v>
      </c>
      <c r="B138" s="964" t="s">
        <v>2332</v>
      </c>
      <c r="C138" s="961"/>
      <c r="D138" s="961"/>
      <c r="E138" s="961"/>
      <c r="F138" s="961"/>
      <c r="G138" s="961"/>
      <c r="H138" s="961"/>
      <c r="I138" s="961"/>
      <c r="J138" s="944">
        <v>477.37</v>
      </c>
      <c r="K138" s="961">
        <v>477.37</v>
      </c>
      <c r="L138" s="961"/>
      <c r="M138" s="961"/>
      <c r="N138" s="961"/>
      <c r="O138" s="961">
        <v>0</v>
      </c>
      <c r="P138" s="962"/>
      <c r="Q138" s="962"/>
      <c r="R138" s="961"/>
      <c r="S138" s="961"/>
      <c r="T138" s="961"/>
      <c r="U138" s="961"/>
      <c r="V138" s="963"/>
      <c r="W138" s="963"/>
      <c r="X138" s="963"/>
    </row>
    <row r="139" spans="1:24" s="837" customFormat="1" ht="56.25">
      <c r="A139" s="959" t="s">
        <v>2469</v>
      </c>
      <c r="B139" s="964" t="s">
        <v>2284</v>
      </c>
      <c r="C139" s="961"/>
      <c r="D139" s="961"/>
      <c r="E139" s="961"/>
      <c r="F139" s="961"/>
      <c r="G139" s="961"/>
      <c r="H139" s="961"/>
      <c r="I139" s="961"/>
      <c r="J139" s="944">
        <v>29654.816999999999</v>
      </c>
      <c r="K139" s="961">
        <v>29654.816999999999</v>
      </c>
      <c r="L139" s="961"/>
      <c r="M139" s="961"/>
      <c r="N139" s="961"/>
      <c r="O139" s="961">
        <v>0</v>
      </c>
      <c r="P139" s="962"/>
      <c r="Q139" s="962"/>
      <c r="R139" s="961"/>
      <c r="S139" s="961"/>
      <c r="T139" s="961"/>
      <c r="U139" s="961"/>
      <c r="V139" s="963"/>
      <c r="W139" s="963"/>
      <c r="X139" s="963"/>
    </row>
    <row r="140" spans="1:24" s="837" customFormat="1" ht="56.25">
      <c r="A140" s="959" t="s">
        <v>2469</v>
      </c>
      <c r="B140" s="964" t="s">
        <v>2333</v>
      </c>
      <c r="C140" s="961"/>
      <c r="D140" s="961"/>
      <c r="E140" s="961"/>
      <c r="F140" s="961"/>
      <c r="G140" s="961"/>
      <c r="H140" s="961"/>
      <c r="I140" s="961"/>
      <c r="J140" s="944">
        <v>893.50599999999997</v>
      </c>
      <c r="K140" s="961">
        <v>893.50599999999997</v>
      </c>
      <c r="L140" s="961"/>
      <c r="M140" s="961"/>
      <c r="N140" s="961"/>
      <c r="O140" s="961">
        <v>0</v>
      </c>
      <c r="P140" s="962"/>
      <c r="Q140" s="962"/>
      <c r="R140" s="961"/>
      <c r="S140" s="961"/>
      <c r="T140" s="961"/>
      <c r="U140" s="961"/>
      <c r="V140" s="963"/>
      <c r="W140" s="963"/>
      <c r="X140" s="963"/>
    </row>
    <row r="141" spans="1:24" s="837" customFormat="1" ht="56.25">
      <c r="A141" s="959" t="s">
        <v>2469</v>
      </c>
      <c r="B141" s="964" t="s">
        <v>2334</v>
      </c>
      <c r="C141" s="961"/>
      <c r="D141" s="961"/>
      <c r="E141" s="961"/>
      <c r="F141" s="961"/>
      <c r="G141" s="961"/>
      <c r="H141" s="961"/>
      <c r="I141" s="961"/>
      <c r="J141" s="944">
        <v>935.98599999999999</v>
      </c>
      <c r="K141" s="961">
        <v>935.98599999999999</v>
      </c>
      <c r="L141" s="961"/>
      <c r="M141" s="961"/>
      <c r="N141" s="961"/>
      <c r="O141" s="961">
        <v>0</v>
      </c>
      <c r="P141" s="962"/>
      <c r="Q141" s="962"/>
      <c r="R141" s="961"/>
      <c r="S141" s="961"/>
      <c r="T141" s="961"/>
      <c r="U141" s="961"/>
      <c r="V141" s="963"/>
      <c r="W141" s="963"/>
      <c r="X141" s="963"/>
    </row>
    <row r="142" spans="1:24" s="837" customFormat="1" ht="56.25">
      <c r="A142" s="959" t="s">
        <v>2469</v>
      </c>
      <c r="B142" s="964" t="s">
        <v>2335</v>
      </c>
      <c r="C142" s="961"/>
      <c r="D142" s="961"/>
      <c r="E142" s="961"/>
      <c r="F142" s="961"/>
      <c r="G142" s="961"/>
      <c r="H142" s="961"/>
      <c r="I142" s="961"/>
      <c r="J142" s="944">
        <v>5298.3</v>
      </c>
      <c r="K142" s="961">
        <v>5298.3</v>
      </c>
      <c r="L142" s="961"/>
      <c r="M142" s="961"/>
      <c r="N142" s="961"/>
      <c r="O142" s="961">
        <v>0</v>
      </c>
      <c r="P142" s="962"/>
      <c r="Q142" s="962"/>
      <c r="R142" s="961"/>
      <c r="S142" s="961"/>
      <c r="T142" s="961"/>
      <c r="U142" s="961"/>
      <c r="V142" s="963"/>
      <c r="W142" s="963"/>
      <c r="X142" s="963"/>
    </row>
    <row r="143" spans="1:24" s="837" customFormat="1" ht="56.25">
      <c r="A143" s="959" t="s">
        <v>2469</v>
      </c>
      <c r="B143" s="964" t="s">
        <v>2336</v>
      </c>
      <c r="C143" s="961"/>
      <c r="D143" s="961"/>
      <c r="E143" s="961"/>
      <c r="F143" s="961"/>
      <c r="G143" s="961"/>
      <c r="H143" s="961"/>
      <c r="I143" s="961"/>
      <c r="J143" s="944">
        <v>6619.692</v>
      </c>
      <c r="K143" s="961">
        <v>6619.692</v>
      </c>
      <c r="L143" s="961"/>
      <c r="M143" s="961"/>
      <c r="N143" s="961"/>
      <c r="O143" s="961">
        <v>0</v>
      </c>
      <c r="P143" s="962"/>
      <c r="Q143" s="962"/>
      <c r="R143" s="961"/>
      <c r="S143" s="961"/>
      <c r="T143" s="961"/>
      <c r="U143" s="961"/>
      <c r="V143" s="963"/>
      <c r="W143" s="963"/>
      <c r="X143" s="963"/>
    </row>
    <row r="144" spans="1:24" s="837" customFormat="1" ht="75">
      <c r="A144" s="959" t="s">
        <v>2469</v>
      </c>
      <c r="B144" s="964" t="s">
        <v>2568</v>
      </c>
      <c r="C144" s="961"/>
      <c r="D144" s="961"/>
      <c r="E144" s="961"/>
      <c r="F144" s="961"/>
      <c r="G144" s="961"/>
      <c r="H144" s="961"/>
      <c r="I144" s="961"/>
      <c r="J144" s="944">
        <v>6449.6109999999999</v>
      </c>
      <c r="K144" s="961">
        <v>6449.6109999999999</v>
      </c>
      <c r="L144" s="961"/>
      <c r="M144" s="961"/>
      <c r="N144" s="961"/>
      <c r="O144" s="961">
        <v>0</v>
      </c>
      <c r="P144" s="962"/>
      <c r="Q144" s="962"/>
      <c r="R144" s="961"/>
      <c r="S144" s="961"/>
      <c r="T144" s="961"/>
      <c r="U144" s="961"/>
      <c r="V144" s="963"/>
      <c r="W144" s="963"/>
      <c r="X144" s="963"/>
    </row>
    <row r="145" spans="1:24" s="837" customFormat="1" ht="37.5">
      <c r="A145" s="959" t="s">
        <v>2469</v>
      </c>
      <c r="B145" s="964" t="s">
        <v>2337</v>
      </c>
      <c r="C145" s="961"/>
      <c r="D145" s="961"/>
      <c r="E145" s="961"/>
      <c r="F145" s="961"/>
      <c r="G145" s="961"/>
      <c r="H145" s="961"/>
      <c r="I145" s="961"/>
      <c r="J145" s="944">
        <v>101.199</v>
      </c>
      <c r="K145" s="961">
        <v>101.199</v>
      </c>
      <c r="L145" s="961"/>
      <c r="M145" s="961"/>
      <c r="N145" s="961"/>
      <c r="O145" s="961">
        <v>0</v>
      </c>
      <c r="P145" s="962"/>
      <c r="Q145" s="962"/>
      <c r="R145" s="961"/>
      <c r="S145" s="961"/>
      <c r="T145" s="961"/>
      <c r="U145" s="961"/>
      <c r="V145" s="963"/>
      <c r="W145" s="963"/>
      <c r="X145" s="963"/>
    </row>
    <row r="146" spans="1:24" s="837" customFormat="1" ht="56.25">
      <c r="A146" s="959" t="s">
        <v>2469</v>
      </c>
      <c r="B146" s="964" t="s">
        <v>2338</v>
      </c>
      <c r="C146" s="961"/>
      <c r="D146" s="961"/>
      <c r="E146" s="961"/>
      <c r="F146" s="961"/>
      <c r="G146" s="961"/>
      <c r="H146" s="961"/>
      <c r="I146" s="961"/>
      <c r="J146" s="944">
        <v>7169.3329999999996</v>
      </c>
      <c r="K146" s="961">
        <v>7169.3329999999996</v>
      </c>
      <c r="L146" s="961"/>
      <c r="M146" s="961"/>
      <c r="N146" s="961"/>
      <c r="O146" s="961">
        <v>0</v>
      </c>
      <c r="P146" s="962"/>
      <c r="Q146" s="962"/>
      <c r="R146" s="961"/>
      <c r="S146" s="961"/>
      <c r="T146" s="961"/>
      <c r="U146" s="961"/>
      <c r="V146" s="963"/>
      <c r="W146" s="963"/>
      <c r="X146" s="963"/>
    </row>
    <row r="147" spans="1:24" s="837" customFormat="1" ht="56.25">
      <c r="A147" s="959" t="s">
        <v>2469</v>
      </c>
      <c r="B147" s="964" t="s">
        <v>2339</v>
      </c>
      <c r="C147" s="961"/>
      <c r="D147" s="961"/>
      <c r="E147" s="961"/>
      <c r="F147" s="961"/>
      <c r="G147" s="961"/>
      <c r="H147" s="961"/>
      <c r="I147" s="961"/>
      <c r="J147" s="944">
        <v>4497.1530000000002</v>
      </c>
      <c r="K147" s="961">
        <v>4497.1530000000002</v>
      </c>
      <c r="L147" s="961"/>
      <c r="M147" s="961"/>
      <c r="N147" s="961"/>
      <c r="O147" s="961">
        <v>0</v>
      </c>
      <c r="P147" s="962"/>
      <c r="Q147" s="962"/>
      <c r="R147" s="961"/>
      <c r="S147" s="961"/>
      <c r="T147" s="961"/>
      <c r="U147" s="961"/>
      <c r="V147" s="963"/>
      <c r="W147" s="963"/>
      <c r="X147" s="963"/>
    </row>
    <row r="148" spans="1:24" s="837" customFormat="1" ht="37.5">
      <c r="A148" s="959" t="s">
        <v>2469</v>
      </c>
      <c r="B148" s="964" t="s">
        <v>2340</v>
      </c>
      <c r="C148" s="961"/>
      <c r="D148" s="961"/>
      <c r="E148" s="961"/>
      <c r="F148" s="961"/>
      <c r="G148" s="961"/>
      <c r="H148" s="961"/>
      <c r="I148" s="961"/>
      <c r="J148" s="944">
        <v>1968.7550000000001</v>
      </c>
      <c r="K148" s="961">
        <v>1968.7550000000001</v>
      </c>
      <c r="L148" s="961"/>
      <c r="M148" s="961"/>
      <c r="N148" s="961"/>
      <c r="O148" s="961">
        <v>0</v>
      </c>
      <c r="P148" s="962"/>
      <c r="Q148" s="962"/>
      <c r="R148" s="961"/>
      <c r="S148" s="961"/>
      <c r="T148" s="961"/>
      <c r="U148" s="961"/>
      <c r="V148" s="963"/>
      <c r="W148" s="963"/>
      <c r="X148" s="963"/>
    </row>
    <row r="149" spans="1:24" s="837" customFormat="1" ht="75">
      <c r="A149" s="959" t="s">
        <v>2469</v>
      </c>
      <c r="B149" s="964" t="s">
        <v>2285</v>
      </c>
      <c r="C149" s="961"/>
      <c r="D149" s="961"/>
      <c r="E149" s="961"/>
      <c r="F149" s="961"/>
      <c r="G149" s="961"/>
      <c r="H149" s="961"/>
      <c r="I149" s="961"/>
      <c r="J149" s="944">
        <v>1129.633</v>
      </c>
      <c r="K149" s="961">
        <v>1129.633</v>
      </c>
      <c r="L149" s="961"/>
      <c r="M149" s="961"/>
      <c r="N149" s="961"/>
      <c r="O149" s="961">
        <v>0</v>
      </c>
      <c r="P149" s="962"/>
      <c r="Q149" s="962"/>
      <c r="R149" s="961"/>
      <c r="S149" s="961"/>
      <c r="T149" s="961"/>
      <c r="U149" s="961"/>
      <c r="V149" s="963"/>
      <c r="W149" s="963"/>
      <c r="X149" s="963"/>
    </row>
    <row r="150" spans="1:24" s="837" customFormat="1" ht="75">
      <c r="A150" s="959" t="s">
        <v>2469</v>
      </c>
      <c r="B150" s="964" t="s">
        <v>2341</v>
      </c>
      <c r="C150" s="961"/>
      <c r="D150" s="961"/>
      <c r="E150" s="961"/>
      <c r="F150" s="961"/>
      <c r="G150" s="961"/>
      <c r="H150" s="961"/>
      <c r="I150" s="961"/>
      <c r="J150" s="944">
        <v>966.10699999999997</v>
      </c>
      <c r="K150" s="961">
        <v>966.10699999999997</v>
      </c>
      <c r="L150" s="961"/>
      <c r="M150" s="961"/>
      <c r="N150" s="961"/>
      <c r="O150" s="961">
        <v>0</v>
      </c>
      <c r="P150" s="962"/>
      <c r="Q150" s="962"/>
      <c r="R150" s="961"/>
      <c r="S150" s="961"/>
      <c r="T150" s="961"/>
      <c r="U150" s="961"/>
      <c r="V150" s="963"/>
      <c r="W150" s="963"/>
      <c r="X150" s="963"/>
    </row>
    <row r="151" spans="1:24" s="837" customFormat="1" ht="37.5">
      <c r="A151" s="959" t="s">
        <v>2469</v>
      </c>
      <c r="B151" s="964" t="s">
        <v>2569</v>
      </c>
      <c r="C151" s="961"/>
      <c r="D151" s="961"/>
      <c r="E151" s="961"/>
      <c r="F151" s="961"/>
      <c r="G151" s="961"/>
      <c r="H151" s="961"/>
      <c r="I151" s="961"/>
      <c r="J151" s="944">
        <v>206.458</v>
      </c>
      <c r="K151" s="961">
        <v>206.458</v>
      </c>
      <c r="L151" s="961"/>
      <c r="M151" s="961"/>
      <c r="N151" s="961"/>
      <c r="O151" s="961">
        <v>0</v>
      </c>
      <c r="P151" s="962"/>
      <c r="Q151" s="962"/>
      <c r="R151" s="961"/>
      <c r="S151" s="961"/>
      <c r="T151" s="961"/>
      <c r="U151" s="961"/>
      <c r="V151" s="963"/>
      <c r="W151" s="963"/>
      <c r="X151" s="963"/>
    </row>
    <row r="152" spans="1:24" s="837" customFormat="1" ht="37.5">
      <c r="A152" s="959" t="s">
        <v>2469</v>
      </c>
      <c r="B152" s="964" t="s">
        <v>2342</v>
      </c>
      <c r="C152" s="961"/>
      <c r="D152" s="961"/>
      <c r="E152" s="961"/>
      <c r="F152" s="961"/>
      <c r="G152" s="961"/>
      <c r="H152" s="961"/>
      <c r="I152" s="961"/>
      <c r="J152" s="944">
        <v>344</v>
      </c>
      <c r="K152" s="961">
        <v>344</v>
      </c>
      <c r="L152" s="961"/>
      <c r="M152" s="961"/>
      <c r="N152" s="961"/>
      <c r="O152" s="961">
        <v>0</v>
      </c>
      <c r="P152" s="962"/>
      <c r="Q152" s="962"/>
      <c r="R152" s="961"/>
      <c r="S152" s="961"/>
      <c r="T152" s="961"/>
      <c r="U152" s="961"/>
      <c r="V152" s="963"/>
      <c r="W152" s="963"/>
      <c r="X152" s="963"/>
    </row>
    <row r="153" spans="1:24" s="837" customFormat="1" ht="56.25">
      <c r="A153" s="959" t="s">
        <v>2469</v>
      </c>
      <c r="B153" s="964" t="s">
        <v>2343</v>
      </c>
      <c r="C153" s="961"/>
      <c r="D153" s="961"/>
      <c r="E153" s="961"/>
      <c r="F153" s="961"/>
      <c r="G153" s="961"/>
      <c r="H153" s="961"/>
      <c r="I153" s="961"/>
      <c r="J153" s="944">
        <v>2348.2130000000002</v>
      </c>
      <c r="K153" s="961">
        <v>2348.2130000000002</v>
      </c>
      <c r="L153" s="961"/>
      <c r="M153" s="961"/>
      <c r="N153" s="961"/>
      <c r="O153" s="961">
        <v>0</v>
      </c>
      <c r="P153" s="962"/>
      <c r="Q153" s="962"/>
      <c r="R153" s="961"/>
      <c r="S153" s="961"/>
      <c r="T153" s="961"/>
      <c r="U153" s="961"/>
      <c r="V153" s="963"/>
      <c r="W153" s="963"/>
      <c r="X153" s="963"/>
    </row>
    <row r="154" spans="1:24" s="837" customFormat="1" ht="37.5">
      <c r="A154" s="959" t="s">
        <v>2469</v>
      </c>
      <c r="B154" s="964" t="s">
        <v>2570</v>
      </c>
      <c r="C154" s="961"/>
      <c r="D154" s="961"/>
      <c r="E154" s="961"/>
      <c r="F154" s="961"/>
      <c r="G154" s="961"/>
      <c r="H154" s="961"/>
      <c r="I154" s="961"/>
      <c r="J154" s="944">
        <v>965.18200000000002</v>
      </c>
      <c r="K154" s="961">
        <v>965.18200000000002</v>
      </c>
      <c r="L154" s="961"/>
      <c r="M154" s="961"/>
      <c r="N154" s="961"/>
      <c r="O154" s="961">
        <v>0</v>
      </c>
      <c r="P154" s="962"/>
      <c r="Q154" s="962"/>
      <c r="R154" s="961"/>
      <c r="S154" s="961"/>
      <c r="T154" s="961"/>
      <c r="U154" s="961"/>
      <c r="V154" s="963"/>
      <c r="W154" s="963"/>
      <c r="X154" s="963"/>
    </row>
    <row r="155" spans="1:24" s="837" customFormat="1" ht="75">
      <c r="A155" s="959" t="s">
        <v>2469</v>
      </c>
      <c r="B155" s="964" t="s">
        <v>2571</v>
      </c>
      <c r="C155" s="961"/>
      <c r="D155" s="961"/>
      <c r="E155" s="961"/>
      <c r="F155" s="961"/>
      <c r="G155" s="961"/>
      <c r="H155" s="961"/>
      <c r="I155" s="961"/>
      <c r="J155" s="944">
        <v>2422.4499999999998</v>
      </c>
      <c r="K155" s="961">
        <v>2422.4499999999998</v>
      </c>
      <c r="L155" s="961"/>
      <c r="M155" s="961"/>
      <c r="N155" s="961"/>
      <c r="O155" s="961">
        <v>0</v>
      </c>
      <c r="P155" s="962"/>
      <c r="Q155" s="962"/>
      <c r="R155" s="961"/>
      <c r="S155" s="961"/>
      <c r="T155" s="961"/>
      <c r="U155" s="961"/>
      <c r="V155" s="963"/>
      <c r="W155" s="963"/>
      <c r="X155" s="963"/>
    </row>
    <row r="156" spans="1:24" s="837" customFormat="1" ht="37.5">
      <c r="A156" s="959" t="s">
        <v>2469</v>
      </c>
      <c r="B156" s="964" t="s">
        <v>2344</v>
      </c>
      <c r="C156" s="961"/>
      <c r="D156" s="961"/>
      <c r="E156" s="961"/>
      <c r="F156" s="961"/>
      <c r="G156" s="961"/>
      <c r="H156" s="961"/>
      <c r="I156" s="961"/>
      <c r="J156" s="944">
        <v>768</v>
      </c>
      <c r="K156" s="961">
        <v>768</v>
      </c>
      <c r="L156" s="961"/>
      <c r="M156" s="961"/>
      <c r="N156" s="961"/>
      <c r="O156" s="961">
        <v>0</v>
      </c>
      <c r="P156" s="962"/>
      <c r="Q156" s="962"/>
      <c r="R156" s="961"/>
      <c r="S156" s="961"/>
      <c r="T156" s="961"/>
      <c r="U156" s="961"/>
      <c r="V156" s="963"/>
      <c r="W156" s="963"/>
      <c r="X156" s="963"/>
    </row>
    <row r="157" spans="1:24" s="837" customFormat="1" ht="56.25">
      <c r="A157" s="959" t="s">
        <v>2469</v>
      </c>
      <c r="B157" s="964" t="s">
        <v>2345</v>
      </c>
      <c r="C157" s="961"/>
      <c r="D157" s="961"/>
      <c r="E157" s="961"/>
      <c r="F157" s="961"/>
      <c r="G157" s="961"/>
      <c r="H157" s="961"/>
      <c r="I157" s="961"/>
      <c r="J157" s="944">
        <v>3854.6345999999999</v>
      </c>
      <c r="K157" s="961">
        <v>3854.6345999999999</v>
      </c>
      <c r="L157" s="961"/>
      <c r="M157" s="961"/>
      <c r="N157" s="961"/>
      <c r="O157" s="961">
        <v>0</v>
      </c>
      <c r="P157" s="962"/>
      <c r="Q157" s="962"/>
      <c r="R157" s="961"/>
      <c r="S157" s="961"/>
      <c r="T157" s="961"/>
      <c r="U157" s="961"/>
      <c r="V157" s="963"/>
      <c r="W157" s="963"/>
      <c r="X157" s="963"/>
    </row>
    <row r="158" spans="1:24" s="837" customFormat="1" ht="37.5">
      <c r="A158" s="959" t="s">
        <v>2469</v>
      </c>
      <c r="B158" s="964" t="s">
        <v>2346</v>
      </c>
      <c r="C158" s="961"/>
      <c r="D158" s="961"/>
      <c r="E158" s="961"/>
      <c r="F158" s="961"/>
      <c r="G158" s="961"/>
      <c r="H158" s="961"/>
      <c r="I158" s="961"/>
      <c r="J158" s="944">
        <v>1300</v>
      </c>
      <c r="K158" s="961">
        <v>1300</v>
      </c>
      <c r="L158" s="961"/>
      <c r="M158" s="961"/>
      <c r="N158" s="961"/>
      <c r="O158" s="961">
        <v>0</v>
      </c>
      <c r="P158" s="962"/>
      <c r="Q158" s="962"/>
      <c r="R158" s="961"/>
      <c r="S158" s="961"/>
      <c r="T158" s="961"/>
      <c r="U158" s="961"/>
      <c r="V158" s="963"/>
      <c r="W158" s="963"/>
      <c r="X158" s="963"/>
    </row>
    <row r="159" spans="1:24" s="837" customFormat="1" ht="37.5">
      <c r="A159" s="959" t="s">
        <v>2469</v>
      </c>
      <c r="B159" s="964" t="s">
        <v>2347</v>
      </c>
      <c r="C159" s="961"/>
      <c r="D159" s="961"/>
      <c r="E159" s="961"/>
      <c r="F159" s="961"/>
      <c r="G159" s="961"/>
      <c r="H159" s="961"/>
      <c r="I159" s="961"/>
      <c r="J159" s="944">
        <v>2825.174</v>
      </c>
      <c r="K159" s="961">
        <v>2825.174</v>
      </c>
      <c r="L159" s="961"/>
      <c r="M159" s="961"/>
      <c r="N159" s="961"/>
      <c r="O159" s="961">
        <v>0</v>
      </c>
      <c r="P159" s="962"/>
      <c r="Q159" s="962"/>
      <c r="R159" s="961"/>
      <c r="S159" s="961"/>
      <c r="T159" s="961"/>
      <c r="U159" s="961"/>
      <c r="V159" s="963"/>
      <c r="W159" s="963"/>
      <c r="X159" s="963"/>
    </row>
    <row r="160" spans="1:24" s="837" customFormat="1" ht="56.25">
      <c r="A160" s="959" t="s">
        <v>2469</v>
      </c>
      <c r="B160" s="964" t="s">
        <v>2348</v>
      </c>
      <c r="C160" s="961"/>
      <c r="D160" s="961"/>
      <c r="E160" s="961"/>
      <c r="F160" s="961"/>
      <c r="G160" s="961"/>
      <c r="H160" s="961"/>
      <c r="I160" s="961"/>
      <c r="J160" s="944">
        <v>3505.55</v>
      </c>
      <c r="K160" s="961">
        <v>3505.55</v>
      </c>
      <c r="L160" s="961"/>
      <c r="M160" s="961"/>
      <c r="N160" s="961"/>
      <c r="O160" s="961">
        <v>0</v>
      </c>
      <c r="P160" s="962"/>
      <c r="Q160" s="962"/>
      <c r="R160" s="961"/>
      <c r="S160" s="961"/>
      <c r="T160" s="961"/>
      <c r="U160" s="961"/>
      <c r="V160" s="963"/>
      <c r="W160" s="963"/>
      <c r="X160" s="963"/>
    </row>
    <row r="161" spans="1:24" s="837" customFormat="1" ht="37.5">
      <c r="A161" s="959" t="s">
        <v>2469</v>
      </c>
      <c r="B161" s="964" t="s">
        <v>2572</v>
      </c>
      <c r="C161" s="961"/>
      <c r="D161" s="961"/>
      <c r="E161" s="961"/>
      <c r="F161" s="961"/>
      <c r="G161" s="961"/>
      <c r="H161" s="961"/>
      <c r="I161" s="961"/>
      <c r="J161" s="944">
        <v>5948.6350000000002</v>
      </c>
      <c r="K161" s="961">
        <v>5948.6350000000002</v>
      </c>
      <c r="L161" s="961"/>
      <c r="M161" s="961"/>
      <c r="N161" s="961"/>
      <c r="O161" s="961">
        <v>0</v>
      </c>
      <c r="P161" s="962"/>
      <c r="Q161" s="962"/>
      <c r="R161" s="961"/>
      <c r="S161" s="961"/>
      <c r="T161" s="961"/>
      <c r="U161" s="961"/>
      <c r="V161" s="963"/>
      <c r="W161" s="963"/>
      <c r="X161" s="963"/>
    </row>
    <row r="162" spans="1:24" s="837" customFormat="1" ht="37.5">
      <c r="A162" s="959" t="s">
        <v>2469</v>
      </c>
      <c r="B162" s="964" t="s">
        <v>2349</v>
      </c>
      <c r="C162" s="961"/>
      <c r="D162" s="961"/>
      <c r="E162" s="961"/>
      <c r="F162" s="961"/>
      <c r="G162" s="961"/>
      <c r="H162" s="961"/>
      <c r="I162" s="961"/>
      <c r="J162" s="944">
        <v>642.23699999999997</v>
      </c>
      <c r="K162" s="961">
        <v>642.23699999999997</v>
      </c>
      <c r="L162" s="961"/>
      <c r="M162" s="961"/>
      <c r="N162" s="961"/>
      <c r="O162" s="961">
        <v>0</v>
      </c>
      <c r="P162" s="962"/>
      <c r="Q162" s="962"/>
      <c r="R162" s="961"/>
      <c r="S162" s="961"/>
      <c r="T162" s="961"/>
      <c r="U162" s="961"/>
      <c r="V162" s="963"/>
      <c r="W162" s="963"/>
      <c r="X162" s="963"/>
    </row>
    <row r="163" spans="1:24" s="837" customFormat="1">
      <c r="A163" s="959" t="s">
        <v>2469</v>
      </c>
      <c r="B163" s="964" t="s">
        <v>2350</v>
      </c>
      <c r="C163" s="961"/>
      <c r="D163" s="961"/>
      <c r="E163" s="961"/>
      <c r="F163" s="961"/>
      <c r="G163" s="961"/>
      <c r="H163" s="961"/>
      <c r="I163" s="961"/>
      <c r="J163" s="944">
        <v>3821.4490999999998</v>
      </c>
      <c r="K163" s="961">
        <v>3821.4490999999998</v>
      </c>
      <c r="L163" s="961"/>
      <c r="M163" s="961"/>
      <c r="N163" s="961"/>
      <c r="O163" s="961">
        <v>0</v>
      </c>
      <c r="P163" s="962"/>
      <c r="Q163" s="962"/>
      <c r="R163" s="961"/>
      <c r="S163" s="961"/>
      <c r="T163" s="961"/>
      <c r="U163" s="961"/>
      <c r="V163" s="963"/>
      <c r="W163" s="963"/>
      <c r="X163" s="963"/>
    </row>
    <row r="164" spans="1:24" s="837" customFormat="1" ht="56.25">
      <c r="A164" s="959" t="s">
        <v>2469</v>
      </c>
      <c r="B164" s="964" t="s">
        <v>2351</v>
      </c>
      <c r="C164" s="961"/>
      <c r="D164" s="961"/>
      <c r="E164" s="961"/>
      <c r="F164" s="961"/>
      <c r="G164" s="961"/>
      <c r="H164" s="961"/>
      <c r="I164" s="961"/>
      <c r="J164" s="944">
        <v>1507.4349999999999</v>
      </c>
      <c r="K164" s="961">
        <v>1507.4349999999999</v>
      </c>
      <c r="L164" s="961"/>
      <c r="M164" s="961"/>
      <c r="N164" s="961"/>
      <c r="O164" s="961">
        <v>0</v>
      </c>
      <c r="P164" s="962"/>
      <c r="Q164" s="962"/>
      <c r="R164" s="961"/>
      <c r="S164" s="961"/>
      <c r="T164" s="961"/>
      <c r="U164" s="961"/>
      <c r="V164" s="963"/>
      <c r="W164" s="963"/>
      <c r="X164" s="963"/>
    </row>
    <row r="165" spans="1:24" s="837" customFormat="1" ht="56.25">
      <c r="A165" s="959" t="s">
        <v>2469</v>
      </c>
      <c r="B165" s="964" t="s">
        <v>2352</v>
      </c>
      <c r="C165" s="961"/>
      <c r="D165" s="961"/>
      <c r="E165" s="961"/>
      <c r="F165" s="961"/>
      <c r="G165" s="961"/>
      <c r="H165" s="961"/>
      <c r="I165" s="961"/>
      <c r="J165" s="944">
        <v>1165.0319999999999</v>
      </c>
      <c r="K165" s="961">
        <v>1165.0319999999999</v>
      </c>
      <c r="L165" s="961"/>
      <c r="M165" s="961"/>
      <c r="N165" s="961"/>
      <c r="O165" s="961">
        <v>0</v>
      </c>
      <c r="P165" s="962"/>
      <c r="Q165" s="962"/>
      <c r="R165" s="961"/>
      <c r="S165" s="961"/>
      <c r="T165" s="961"/>
      <c r="U165" s="961"/>
      <c r="V165" s="963"/>
      <c r="W165" s="963"/>
      <c r="X165" s="963"/>
    </row>
    <row r="166" spans="1:24" s="837" customFormat="1" ht="56.25">
      <c r="A166" s="959" t="s">
        <v>2469</v>
      </c>
      <c r="B166" s="964" t="s">
        <v>2353</v>
      </c>
      <c r="C166" s="961"/>
      <c r="D166" s="961"/>
      <c r="E166" s="961"/>
      <c r="F166" s="961"/>
      <c r="G166" s="961"/>
      <c r="H166" s="961"/>
      <c r="I166" s="961"/>
      <c r="J166" s="944">
        <v>1332.135</v>
      </c>
      <c r="K166" s="961">
        <v>1332.135</v>
      </c>
      <c r="L166" s="961"/>
      <c r="M166" s="961"/>
      <c r="N166" s="961"/>
      <c r="O166" s="961">
        <v>0</v>
      </c>
      <c r="P166" s="962"/>
      <c r="Q166" s="962"/>
      <c r="R166" s="961"/>
      <c r="S166" s="961"/>
      <c r="T166" s="961"/>
      <c r="U166" s="961"/>
      <c r="V166" s="963"/>
      <c r="W166" s="963"/>
      <c r="X166" s="963"/>
    </row>
    <row r="167" spans="1:24" s="837" customFormat="1" ht="56.25">
      <c r="A167" s="959" t="s">
        <v>2469</v>
      </c>
      <c r="B167" s="964" t="s">
        <v>2354</v>
      </c>
      <c r="C167" s="961"/>
      <c r="D167" s="961"/>
      <c r="E167" s="961"/>
      <c r="F167" s="961"/>
      <c r="G167" s="961"/>
      <c r="H167" s="961"/>
      <c r="I167" s="961"/>
      <c r="J167" s="944">
        <v>5785.2219999999998</v>
      </c>
      <c r="K167" s="961">
        <v>5785.2219999999998</v>
      </c>
      <c r="L167" s="961"/>
      <c r="M167" s="961"/>
      <c r="N167" s="961"/>
      <c r="O167" s="961">
        <v>0</v>
      </c>
      <c r="P167" s="962"/>
      <c r="Q167" s="962"/>
      <c r="R167" s="961"/>
      <c r="S167" s="961"/>
      <c r="T167" s="961"/>
      <c r="U167" s="961"/>
      <c r="V167" s="963"/>
      <c r="W167" s="963"/>
      <c r="X167" s="963"/>
    </row>
    <row r="168" spans="1:24" s="837" customFormat="1" ht="75">
      <c r="A168" s="959" t="s">
        <v>2469</v>
      </c>
      <c r="B168" s="964" t="s">
        <v>2355</v>
      </c>
      <c r="C168" s="961"/>
      <c r="D168" s="961"/>
      <c r="E168" s="961"/>
      <c r="F168" s="961"/>
      <c r="G168" s="961"/>
      <c r="H168" s="961"/>
      <c r="I168" s="961"/>
      <c r="J168" s="944">
        <v>6352.7539999999999</v>
      </c>
      <c r="K168" s="961">
        <v>6352.7539999999999</v>
      </c>
      <c r="L168" s="961"/>
      <c r="M168" s="961"/>
      <c r="N168" s="961"/>
      <c r="O168" s="961">
        <v>0</v>
      </c>
      <c r="P168" s="962"/>
      <c r="Q168" s="962"/>
      <c r="R168" s="961"/>
      <c r="S168" s="961"/>
      <c r="T168" s="961"/>
      <c r="U168" s="961"/>
      <c r="V168" s="963"/>
      <c r="W168" s="963"/>
      <c r="X168" s="963"/>
    </row>
    <row r="169" spans="1:24" s="837" customFormat="1" ht="56.25">
      <c r="A169" s="959" t="s">
        <v>2469</v>
      </c>
      <c r="B169" s="964" t="s">
        <v>2356</v>
      </c>
      <c r="C169" s="961"/>
      <c r="D169" s="961"/>
      <c r="E169" s="961"/>
      <c r="F169" s="961"/>
      <c r="G169" s="961"/>
      <c r="H169" s="961"/>
      <c r="I169" s="961"/>
      <c r="J169" s="944">
        <v>1390.1410000000001</v>
      </c>
      <c r="K169" s="961">
        <v>1390.1410000000001</v>
      </c>
      <c r="L169" s="961"/>
      <c r="M169" s="961"/>
      <c r="N169" s="961"/>
      <c r="O169" s="961">
        <v>0</v>
      </c>
      <c r="P169" s="962"/>
      <c r="Q169" s="962"/>
      <c r="R169" s="961"/>
      <c r="S169" s="961"/>
      <c r="T169" s="961"/>
      <c r="U169" s="961"/>
      <c r="V169" s="963"/>
      <c r="W169" s="963"/>
      <c r="X169" s="963"/>
    </row>
    <row r="170" spans="1:24" s="837" customFormat="1" ht="93.75">
      <c r="A170" s="959" t="s">
        <v>2469</v>
      </c>
      <c r="B170" s="964" t="s">
        <v>2357</v>
      </c>
      <c r="C170" s="961"/>
      <c r="D170" s="961"/>
      <c r="E170" s="961"/>
      <c r="F170" s="961"/>
      <c r="G170" s="961"/>
      <c r="H170" s="961"/>
      <c r="I170" s="961"/>
      <c r="J170" s="944">
        <v>1115.69425</v>
      </c>
      <c r="K170" s="961">
        <v>1115.69425</v>
      </c>
      <c r="L170" s="961"/>
      <c r="M170" s="961"/>
      <c r="N170" s="961"/>
      <c r="O170" s="961">
        <v>0</v>
      </c>
      <c r="P170" s="962"/>
      <c r="Q170" s="962"/>
      <c r="R170" s="961"/>
      <c r="S170" s="961"/>
      <c r="T170" s="961"/>
      <c r="U170" s="961"/>
      <c r="V170" s="963"/>
      <c r="W170" s="963"/>
      <c r="X170" s="963"/>
    </row>
    <row r="171" spans="1:24" s="837" customFormat="1" ht="37.5">
      <c r="A171" s="959" t="s">
        <v>2469</v>
      </c>
      <c r="B171" s="964" t="s">
        <v>2573</v>
      </c>
      <c r="C171" s="961"/>
      <c r="D171" s="961"/>
      <c r="E171" s="961"/>
      <c r="F171" s="961"/>
      <c r="G171" s="961"/>
      <c r="H171" s="961"/>
      <c r="I171" s="961"/>
      <c r="J171" s="944">
        <v>10869.03693</v>
      </c>
      <c r="K171" s="961">
        <v>10869.03693</v>
      </c>
      <c r="L171" s="961"/>
      <c r="M171" s="961"/>
      <c r="N171" s="961"/>
      <c r="O171" s="961">
        <v>0</v>
      </c>
      <c r="P171" s="962"/>
      <c r="Q171" s="962"/>
      <c r="R171" s="961"/>
      <c r="S171" s="961"/>
      <c r="T171" s="961"/>
      <c r="U171" s="961"/>
      <c r="V171" s="963"/>
      <c r="W171" s="963"/>
      <c r="X171" s="963"/>
    </row>
    <row r="172" spans="1:24" s="837" customFormat="1" ht="37.5">
      <c r="A172" s="959" t="s">
        <v>2469</v>
      </c>
      <c r="B172" s="964" t="s">
        <v>2358</v>
      </c>
      <c r="C172" s="961"/>
      <c r="D172" s="961"/>
      <c r="E172" s="961"/>
      <c r="F172" s="961"/>
      <c r="G172" s="961"/>
      <c r="H172" s="961"/>
      <c r="I172" s="961"/>
      <c r="J172" s="944">
        <v>100</v>
      </c>
      <c r="K172" s="961">
        <v>100</v>
      </c>
      <c r="L172" s="961"/>
      <c r="M172" s="961"/>
      <c r="N172" s="961"/>
      <c r="O172" s="961">
        <v>0</v>
      </c>
      <c r="P172" s="962"/>
      <c r="Q172" s="962"/>
      <c r="R172" s="961"/>
      <c r="S172" s="961"/>
      <c r="T172" s="961"/>
      <c r="U172" s="961"/>
      <c r="V172" s="963"/>
      <c r="W172" s="963"/>
      <c r="X172" s="963"/>
    </row>
    <row r="173" spans="1:24" s="837" customFormat="1" ht="56.25">
      <c r="A173" s="959" t="s">
        <v>2469</v>
      </c>
      <c r="B173" s="964" t="s">
        <v>2359</v>
      </c>
      <c r="C173" s="961"/>
      <c r="D173" s="961"/>
      <c r="E173" s="961"/>
      <c r="F173" s="961"/>
      <c r="G173" s="961"/>
      <c r="H173" s="961"/>
      <c r="I173" s="961"/>
      <c r="J173" s="944">
        <v>10626.058000000001</v>
      </c>
      <c r="K173" s="961">
        <v>10626.058000000001</v>
      </c>
      <c r="L173" s="961"/>
      <c r="M173" s="961"/>
      <c r="N173" s="961"/>
      <c r="O173" s="961">
        <v>0</v>
      </c>
      <c r="P173" s="962"/>
      <c r="Q173" s="962"/>
      <c r="R173" s="961"/>
      <c r="S173" s="961"/>
      <c r="T173" s="961"/>
      <c r="U173" s="961"/>
      <c r="V173" s="963"/>
      <c r="W173" s="963"/>
      <c r="X173" s="963"/>
    </row>
    <row r="174" spans="1:24" s="837" customFormat="1" ht="37.5">
      <c r="A174" s="959" t="s">
        <v>2469</v>
      </c>
      <c r="B174" s="964" t="s">
        <v>2360</v>
      </c>
      <c r="C174" s="961"/>
      <c r="D174" s="961"/>
      <c r="E174" s="961"/>
      <c r="F174" s="961"/>
      <c r="G174" s="961"/>
      <c r="H174" s="961"/>
      <c r="I174" s="961"/>
      <c r="J174" s="944">
        <v>2060</v>
      </c>
      <c r="K174" s="961">
        <v>2060</v>
      </c>
      <c r="L174" s="961"/>
      <c r="M174" s="961"/>
      <c r="N174" s="961"/>
      <c r="O174" s="961">
        <v>0</v>
      </c>
      <c r="P174" s="962"/>
      <c r="Q174" s="962"/>
      <c r="R174" s="961"/>
      <c r="S174" s="961"/>
      <c r="T174" s="961"/>
      <c r="U174" s="961"/>
      <c r="V174" s="963"/>
      <c r="W174" s="963"/>
      <c r="X174" s="963"/>
    </row>
    <row r="175" spans="1:24" s="837" customFormat="1" ht="56.25">
      <c r="A175" s="959" t="s">
        <v>2469</v>
      </c>
      <c r="B175" s="964" t="s">
        <v>2574</v>
      </c>
      <c r="C175" s="961"/>
      <c r="D175" s="961"/>
      <c r="E175" s="961"/>
      <c r="F175" s="961"/>
      <c r="G175" s="961"/>
      <c r="H175" s="961"/>
      <c r="I175" s="961"/>
      <c r="J175" s="944">
        <v>305.39071100000001</v>
      </c>
      <c r="K175" s="961">
        <v>305.39071100000001</v>
      </c>
      <c r="L175" s="961"/>
      <c r="M175" s="961"/>
      <c r="N175" s="961"/>
      <c r="O175" s="961">
        <v>0</v>
      </c>
      <c r="P175" s="962"/>
      <c r="Q175" s="962"/>
      <c r="R175" s="961"/>
      <c r="S175" s="961"/>
      <c r="T175" s="961"/>
      <c r="U175" s="961"/>
      <c r="V175" s="963"/>
      <c r="W175" s="963"/>
      <c r="X175" s="963"/>
    </row>
    <row r="176" spans="1:24" s="837" customFormat="1" ht="56.25">
      <c r="A176" s="959" t="s">
        <v>2469</v>
      </c>
      <c r="B176" s="964" t="s">
        <v>2575</v>
      </c>
      <c r="C176" s="961"/>
      <c r="D176" s="961"/>
      <c r="E176" s="961"/>
      <c r="F176" s="961"/>
      <c r="G176" s="961"/>
      <c r="H176" s="961"/>
      <c r="I176" s="961"/>
      <c r="J176" s="944">
        <v>67.713999999999999</v>
      </c>
      <c r="K176" s="961">
        <v>67.713999999999999</v>
      </c>
      <c r="L176" s="961"/>
      <c r="M176" s="961"/>
      <c r="N176" s="961"/>
      <c r="O176" s="961">
        <v>0</v>
      </c>
      <c r="P176" s="962"/>
      <c r="Q176" s="962"/>
      <c r="R176" s="961"/>
      <c r="S176" s="961"/>
      <c r="T176" s="961"/>
      <c r="U176" s="961"/>
      <c r="V176" s="963"/>
      <c r="W176" s="963"/>
      <c r="X176" s="963"/>
    </row>
    <row r="177" spans="1:24" s="837" customFormat="1" ht="56.25">
      <c r="A177" s="959" t="s">
        <v>2469</v>
      </c>
      <c r="B177" s="964" t="s">
        <v>2361</v>
      </c>
      <c r="C177" s="961"/>
      <c r="D177" s="961"/>
      <c r="E177" s="961"/>
      <c r="F177" s="961"/>
      <c r="G177" s="961"/>
      <c r="H177" s="961"/>
      <c r="I177" s="961"/>
      <c r="J177" s="944">
        <v>134.20099999999999</v>
      </c>
      <c r="K177" s="961">
        <v>134.20099999999999</v>
      </c>
      <c r="L177" s="961"/>
      <c r="M177" s="961"/>
      <c r="N177" s="961"/>
      <c r="O177" s="961">
        <v>0</v>
      </c>
      <c r="P177" s="962"/>
      <c r="Q177" s="962"/>
      <c r="R177" s="961"/>
      <c r="S177" s="961"/>
      <c r="T177" s="961"/>
      <c r="U177" s="961"/>
      <c r="V177" s="963"/>
      <c r="W177" s="963"/>
      <c r="X177" s="963"/>
    </row>
    <row r="178" spans="1:24" s="837" customFormat="1" ht="37.5">
      <c r="A178" s="959" t="s">
        <v>2469</v>
      </c>
      <c r="B178" s="964" t="s">
        <v>2362</v>
      </c>
      <c r="C178" s="961"/>
      <c r="D178" s="961"/>
      <c r="E178" s="961"/>
      <c r="F178" s="961"/>
      <c r="G178" s="961"/>
      <c r="H178" s="961"/>
      <c r="I178" s="961"/>
      <c r="J178" s="944">
        <v>8026.9579999999996</v>
      </c>
      <c r="K178" s="961">
        <v>8026.9579999999996</v>
      </c>
      <c r="L178" s="961"/>
      <c r="M178" s="961"/>
      <c r="N178" s="961"/>
      <c r="O178" s="961">
        <v>0</v>
      </c>
      <c r="P178" s="962"/>
      <c r="Q178" s="962"/>
      <c r="R178" s="961"/>
      <c r="S178" s="961"/>
      <c r="T178" s="961"/>
      <c r="U178" s="961"/>
      <c r="V178" s="963"/>
      <c r="W178" s="963"/>
      <c r="X178" s="963"/>
    </row>
    <row r="179" spans="1:24" s="837" customFormat="1" ht="56.25">
      <c r="A179" s="959" t="s">
        <v>2469</v>
      </c>
      <c r="B179" s="964" t="s">
        <v>2576</v>
      </c>
      <c r="C179" s="961"/>
      <c r="D179" s="961"/>
      <c r="E179" s="961"/>
      <c r="F179" s="961"/>
      <c r="G179" s="961"/>
      <c r="H179" s="961"/>
      <c r="I179" s="961"/>
      <c r="J179" s="944">
        <v>300</v>
      </c>
      <c r="K179" s="961">
        <v>300</v>
      </c>
      <c r="L179" s="961"/>
      <c r="M179" s="961"/>
      <c r="N179" s="961"/>
      <c r="O179" s="961">
        <v>0</v>
      </c>
      <c r="P179" s="962"/>
      <c r="Q179" s="962"/>
      <c r="R179" s="961"/>
      <c r="S179" s="961"/>
      <c r="T179" s="961"/>
      <c r="U179" s="961"/>
      <c r="V179" s="963"/>
      <c r="W179" s="963"/>
      <c r="X179" s="963"/>
    </row>
    <row r="180" spans="1:24" s="837" customFormat="1" ht="56.25">
      <c r="A180" s="959" t="s">
        <v>2469</v>
      </c>
      <c r="B180" s="964" t="s">
        <v>2577</v>
      </c>
      <c r="C180" s="961"/>
      <c r="D180" s="961"/>
      <c r="E180" s="961"/>
      <c r="F180" s="961"/>
      <c r="G180" s="961"/>
      <c r="H180" s="961"/>
      <c r="I180" s="961"/>
      <c r="J180" s="944">
        <v>300</v>
      </c>
      <c r="K180" s="961">
        <v>300</v>
      </c>
      <c r="L180" s="961"/>
      <c r="M180" s="961"/>
      <c r="N180" s="961"/>
      <c r="O180" s="961">
        <v>0</v>
      </c>
      <c r="P180" s="962"/>
      <c r="Q180" s="962"/>
      <c r="R180" s="961"/>
      <c r="S180" s="961"/>
      <c r="T180" s="961"/>
      <c r="U180" s="961"/>
      <c r="V180" s="963"/>
      <c r="W180" s="963"/>
      <c r="X180" s="963"/>
    </row>
    <row r="181" spans="1:24" s="837" customFormat="1" ht="56.25">
      <c r="A181" s="959" t="s">
        <v>2469</v>
      </c>
      <c r="B181" s="964" t="s">
        <v>2578</v>
      </c>
      <c r="C181" s="961"/>
      <c r="D181" s="961"/>
      <c r="E181" s="961"/>
      <c r="F181" s="961"/>
      <c r="G181" s="961"/>
      <c r="H181" s="961"/>
      <c r="I181" s="961"/>
      <c r="J181" s="944">
        <v>300</v>
      </c>
      <c r="K181" s="961">
        <v>300</v>
      </c>
      <c r="L181" s="961"/>
      <c r="M181" s="961"/>
      <c r="N181" s="961"/>
      <c r="O181" s="961">
        <v>0</v>
      </c>
      <c r="P181" s="962"/>
      <c r="Q181" s="962"/>
      <c r="R181" s="961"/>
      <c r="S181" s="961"/>
      <c r="T181" s="961"/>
      <c r="U181" s="961"/>
      <c r="V181" s="963"/>
      <c r="W181" s="963"/>
      <c r="X181" s="963"/>
    </row>
    <row r="182" spans="1:24" s="837" customFormat="1" ht="56.25">
      <c r="A182" s="959" t="s">
        <v>2469</v>
      </c>
      <c r="B182" s="964" t="s">
        <v>2579</v>
      </c>
      <c r="C182" s="961"/>
      <c r="D182" s="961"/>
      <c r="E182" s="961"/>
      <c r="F182" s="961"/>
      <c r="G182" s="961"/>
      <c r="H182" s="961"/>
      <c r="I182" s="961"/>
      <c r="J182" s="944">
        <v>300</v>
      </c>
      <c r="K182" s="961">
        <v>300</v>
      </c>
      <c r="L182" s="961"/>
      <c r="M182" s="961"/>
      <c r="N182" s="961"/>
      <c r="O182" s="961">
        <v>0</v>
      </c>
      <c r="P182" s="962"/>
      <c r="Q182" s="962"/>
      <c r="R182" s="961"/>
      <c r="S182" s="961"/>
      <c r="T182" s="961"/>
      <c r="U182" s="961"/>
      <c r="V182" s="963"/>
      <c r="W182" s="963"/>
      <c r="X182" s="963"/>
    </row>
    <row r="183" spans="1:24" s="837" customFormat="1" ht="56.25">
      <c r="A183" s="959" t="s">
        <v>2469</v>
      </c>
      <c r="B183" s="964" t="s">
        <v>2580</v>
      </c>
      <c r="C183" s="961"/>
      <c r="D183" s="961"/>
      <c r="E183" s="961"/>
      <c r="F183" s="961"/>
      <c r="G183" s="961"/>
      <c r="H183" s="961"/>
      <c r="I183" s="961"/>
      <c r="J183" s="944">
        <v>300</v>
      </c>
      <c r="K183" s="961">
        <v>300</v>
      </c>
      <c r="L183" s="961"/>
      <c r="M183" s="961"/>
      <c r="N183" s="961"/>
      <c r="O183" s="961">
        <v>0</v>
      </c>
      <c r="P183" s="962"/>
      <c r="Q183" s="962"/>
      <c r="R183" s="961"/>
      <c r="S183" s="961"/>
      <c r="T183" s="961"/>
      <c r="U183" s="961"/>
      <c r="V183" s="963"/>
      <c r="W183" s="963"/>
      <c r="X183" s="963"/>
    </row>
    <row r="184" spans="1:24" s="837" customFormat="1" ht="75">
      <c r="A184" s="959" t="s">
        <v>2469</v>
      </c>
      <c r="B184" s="964" t="s">
        <v>2363</v>
      </c>
      <c r="C184" s="961"/>
      <c r="D184" s="961"/>
      <c r="E184" s="961"/>
      <c r="F184" s="961"/>
      <c r="G184" s="961"/>
      <c r="H184" s="961"/>
      <c r="I184" s="961"/>
      <c r="J184" s="944">
        <v>3320.2190000000001</v>
      </c>
      <c r="K184" s="961">
        <v>3320.2190000000001</v>
      </c>
      <c r="L184" s="961"/>
      <c r="M184" s="961"/>
      <c r="N184" s="961"/>
      <c r="O184" s="961">
        <v>0</v>
      </c>
      <c r="P184" s="962"/>
      <c r="Q184" s="962"/>
      <c r="R184" s="961"/>
      <c r="S184" s="961"/>
      <c r="T184" s="961"/>
      <c r="U184" s="961"/>
      <c r="V184" s="963"/>
      <c r="W184" s="963"/>
      <c r="X184" s="963"/>
    </row>
    <row r="185" spans="1:24" s="837" customFormat="1" ht="37.5">
      <c r="A185" s="959" t="s">
        <v>2469</v>
      </c>
      <c r="B185" s="964" t="s">
        <v>2581</v>
      </c>
      <c r="C185" s="961"/>
      <c r="D185" s="961"/>
      <c r="E185" s="961"/>
      <c r="F185" s="961"/>
      <c r="G185" s="961"/>
      <c r="H185" s="961"/>
      <c r="I185" s="961"/>
      <c r="J185" s="944">
        <v>1051.518</v>
      </c>
      <c r="K185" s="961">
        <v>1051.518</v>
      </c>
      <c r="L185" s="961"/>
      <c r="M185" s="961"/>
      <c r="N185" s="961"/>
      <c r="O185" s="961">
        <v>0</v>
      </c>
      <c r="P185" s="962"/>
      <c r="Q185" s="962"/>
      <c r="R185" s="961"/>
      <c r="S185" s="961"/>
      <c r="T185" s="961"/>
      <c r="U185" s="961"/>
      <c r="V185" s="963"/>
      <c r="W185" s="963"/>
      <c r="X185" s="963"/>
    </row>
    <row r="186" spans="1:24" s="837" customFormat="1" ht="93.75">
      <c r="A186" s="959" t="s">
        <v>2469</v>
      </c>
      <c r="B186" s="964" t="s">
        <v>2364</v>
      </c>
      <c r="C186" s="961"/>
      <c r="D186" s="961"/>
      <c r="E186" s="961"/>
      <c r="F186" s="961"/>
      <c r="G186" s="961"/>
      <c r="H186" s="961"/>
      <c r="I186" s="961"/>
      <c r="J186" s="944">
        <v>7063.62</v>
      </c>
      <c r="K186" s="961">
        <v>7063.62</v>
      </c>
      <c r="L186" s="961"/>
      <c r="M186" s="961"/>
      <c r="N186" s="961"/>
      <c r="O186" s="961">
        <v>0</v>
      </c>
      <c r="P186" s="962"/>
      <c r="Q186" s="962"/>
      <c r="R186" s="961"/>
      <c r="S186" s="961"/>
      <c r="T186" s="961"/>
      <c r="U186" s="961"/>
      <c r="V186" s="963"/>
      <c r="W186" s="963"/>
      <c r="X186" s="963"/>
    </row>
    <row r="187" spans="1:24" s="837" customFormat="1" ht="93.75">
      <c r="A187" s="959" t="s">
        <v>2469</v>
      </c>
      <c r="B187" s="964" t="s">
        <v>2365</v>
      </c>
      <c r="C187" s="961"/>
      <c r="D187" s="961"/>
      <c r="E187" s="961"/>
      <c r="F187" s="961"/>
      <c r="G187" s="961"/>
      <c r="H187" s="961"/>
      <c r="I187" s="961"/>
      <c r="J187" s="944">
        <v>16019.975</v>
      </c>
      <c r="K187" s="961">
        <v>16019.975</v>
      </c>
      <c r="L187" s="961"/>
      <c r="M187" s="961"/>
      <c r="N187" s="961"/>
      <c r="O187" s="961">
        <v>0</v>
      </c>
      <c r="P187" s="962"/>
      <c r="Q187" s="962"/>
      <c r="R187" s="961"/>
      <c r="S187" s="961"/>
      <c r="T187" s="961"/>
      <c r="U187" s="961"/>
      <c r="V187" s="963"/>
      <c r="W187" s="963"/>
      <c r="X187" s="963"/>
    </row>
    <row r="188" spans="1:24" s="837" customFormat="1" ht="75">
      <c r="A188" s="959" t="s">
        <v>2469</v>
      </c>
      <c r="B188" s="964" t="s">
        <v>2582</v>
      </c>
      <c r="C188" s="961"/>
      <c r="D188" s="961"/>
      <c r="E188" s="961"/>
      <c r="F188" s="961"/>
      <c r="G188" s="961"/>
      <c r="H188" s="961"/>
      <c r="I188" s="961"/>
      <c r="J188" s="944">
        <v>5125.3119999999999</v>
      </c>
      <c r="K188" s="961">
        <v>5125.3119999999999</v>
      </c>
      <c r="L188" s="961"/>
      <c r="M188" s="961"/>
      <c r="N188" s="961"/>
      <c r="O188" s="961">
        <v>0</v>
      </c>
      <c r="P188" s="962"/>
      <c r="Q188" s="962"/>
      <c r="R188" s="961"/>
      <c r="S188" s="961"/>
      <c r="T188" s="961"/>
      <c r="U188" s="961"/>
      <c r="V188" s="963"/>
      <c r="W188" s="963"/>
      <c r="X188" s="963"/>
    </row>
    <row r="189" spans="1:24" s="837" customFormat="1" ht="93.75">
      <c r="A189" s="959" t="s">
        <v>2469</v>
      </c>
      <c r="B189" s="964" t="s">
        <v>2366</v>
      </c>
      <c r="C189" s="961"/>
      <c r="D189" s="961"/>
      <c r="E189" s="961"/>
      <c r="F189" s="961"/>
      <c r="G189" s="961"/>
      <c r="H189" s="961"/>
      <c r="I189" s="961"/>
      <c r="J189" s="944">
        <v>7844.2295590000003</v>
      </c>
      <c r="K189" s="961">
        <v>7844.2295590000003</v>
      </c>
      <c r="L189" s="961"/>
      <c r="M189" s="961"/>
      <c r="N189" s="961"/>
      <c r="O189" s="961">
        <v>0</v>
      </c>
      <c r="P189" s="962"/>
      <c r="Q189" s="962"/>
      <c r="R189" s="961"/>
      <c r="S189" s="961"/>
      <c r="T189" s="961"/>
      <c r="U189" s="961"/>
      <c r="V189" s="963"/>
      <c r="W189" s="963"/>
      <c r="X189" s="963"/>
    </row>
    <row r="190" spans="1:24" s="837" customFormat="1" ht="37.5">
      <c r="A190" s="959" t="s">
        <v>2469</v>
      </c>
      <c r="B190" s="964" t="s">
        <v>2367</v>
      </c>
      <c r="C190" s="961"/>
      <c r="D190" s="961"/>
      <c r="E190" s="961"/>
      <c r="F190" s="961"/>
      <c r="G190" s="961"/>
      <c r="H190" s="961"/>
      <c r="I190" s="961"/>
      <c r="J190" s="944">
        <v>9093.3889999999992</v>
      </c>
      <c r="K190" s="961">
        <v>9093.3889999999992</v>
      </c>
      <c r="L190" s="961"/>
      <c r="M190" s="961"/>
      <c r="N190" s="961"/>
      <c r="O190" s="961">
        <v>0</v>
      </c>
      <c r="P190" s="962"/>
      <c r="Q190" s="962"/>
      <c r="R190" s="961"/>
      <c r="S190" s="961"/>
      <c r="T190" s="961"/>
      <c r="U190" s="961"/>
      <c r="V190" s="963"/>
      <c r="W190" s="963"/>
      <c r="X190" s="963"/>
    </row>
    <row r="191" spans="1:24" s="837" customFormat="1" ht="37.5">
      <c r="A191" s="959" t="s">
        <v>2469</v>
      </c>
      <c r="B191" s="964" t="s">
        <v>2368</v>
      </c>
      <c r="C191" s="961"/>
      <c r="D191" s="961"/>
      <c r="E191" s="961"/>
      <c r="F191" s="961"/>
      <c r="G191" s="961"/>
      <c r="H191" s="961"/>
      <c r="I191" s="961"/>
      <c r="J191" s="944">
        <v>1307.76</v>
      </c>
      <c r="K191" s="961">
        <v>1307.76</v>
      </c>
      <c r="L191" s="961"/>
      <c r="M191" s="961"/>
      <c r="N191" s="961"/>
      <c r="O191" s="961">
        <v>0</v>
      </c>
      <c r="P191" s="962"/>
      <c r="Q191" s="962"/>
      <c r="R191" s="961"/>
      <c r="S191" s="961"/>
      <c r="T191" s="961"/>
      <c r="U191" s="961"/>
      <c r="V191" s="963"/>
      <c r="W191" s="963"/>
      <c r="X191" s="963"/>
    </row>
    <row r="192" spans="1:24" s="837" customFormat="1" ht="56.25">
      <c r="A192" s="959" t="s">
        <v>2469</v>
      </c>
      <c r="B192" s="964" t="s">
        <v>2369</v>
      </c>
      <c r="C192" s="961"/>
      <c r="D192" s="961"/>
      <c r="E192" s="961"/>
      <c r="F192" s="961"/>
      <c r="G192" s="961"/>
      <c r="H192" s="961"/>
      <c r="I192" s="961"/>
      <c r="J192" s="944">
        <v>1325.9864</v>
      </c>
      <c r="K192" s="961">
        <v>1325.9864</v>
      </c>
      <c r="L192" s="961"/>
      <c r="M192" s="961"/>
      <c r="N192" s="961"/>
      <c r="O192" s="961">
        <v>0</v>
      </c>
      <c r="P192" s="962"/>
      <c r="Q192" s="962"/>
      <c r="R192" s="961"/>
      <c r="S192" s="961"/>
      <c r="T192" s="961"/>
      <c r="U192" s="961"/>
      <c r="V192" s="963"/>
      <c r="W192" s="963"/>
      <c r="X192" s="963"/>
    </row>
    <row r="193" spans="1:24" s="837" customFormat="1" ht="37.5">
      <c r="A193" s="959" t="s">
        <v>2469</v>
      </c>
      <c r="B193" s="964" t="s">
        <v>2370</v>
      </c>
      <c r="C193" s="961"/>
      <c r="D193" s="961"/>
      <c r="E193" s="961"/>
      <c r="F193" s="961"/>
      <c r="G193" s="961"/>
      <c r="H193" s="961"/>
      <c r="I193" s="961"/>
      <c r="J193" s="944">
        <v>800</v>
      </c>
      <c r="K193" s="961">
        <v>800</v>
      </c>
      <c r="L193" s="961"/>
      <c r="M193" s="961"/>
      <c r="N193" s="961"/>
      <c r="O193" s="961">
        <v>0</v>
      </c>
      <c r="P193" s="962"/>
      <c r="Q193" s="962"/>
      <c r="R193" s="961"/>
      <c r="S193" s="961"/>
      <c r="T193" s="961"/>
      <c r="U193" s="961"/>
      <c r="V193" s="963"/>
      <c r="W193" s="963"/>
      <c r="X193" s="963"/>
    </row>
    <row r="194" spans="1:24" s="837" customFormat="1" ht="37.5">
      <c r="A194" s="959" t="s">
        <v>2469</v>
      </c>
      <c r="B194" s="964" t="s">
        <v>2371</v>
      </c>
      <c r="C194" s="961"/>
      <c r="D194" s="961"/>
      <c r="E194" s="961"/>
      <c r="F194" s="961"/>
      <c r="G194" s="961"/>
      <c r="H194" s="961"/>
      <c r="I194" s="961"/>
      <c r="J194" s="944">
        <v>2013.395</v>
      </c>
      <c r="K194" s="961">
        <v>2013.395</v>
      </c>
      <c r="L194" s="961"/>
      <c r="M194" s="961"/>
      <c r="N194" s="961"/>
      <c r="O194" s="961">
        <v>0</v>
      </c>
      <c r="P194" s="962"/>
      <c r="Q194" s="962"/>
      <c r="R194" s="961"/>
      <c r="S194" s="961"/>
      <c r="T194" s="961"/>
      <c r="U194" s="961"/>
      <c r="V194" s="963"/>
      <c r="W194" s="963"/>
      <c r="X194" s="963"/>
    </row>
    <row r="195" spans="1:24" s="837" customFormat="1" ht="37.5">
      <c r="A195" s="959" t="s">
        <v>2469</v>
      </c>
      <c r="B195" s="964" t="s">
        <v>2583</v>
      </c>
      <c r="C195" s="961"/>
      <c r="D195" s="961"/>
      <c r="E195" s="961"/>
      <c r="F195" s="961"/>
      <c r="G195" s="961"/>
      <c r="H195" s="961"/>
      <c r="I195" s="961"/>
      <c r="J195" s="944">
        <v>7524.7554129999999</v>
      </c>
      <c r="K195" s="961">
        <v>7524.7554129999999</v>
      </c>
      <c r="L195" s="961"/>
      <c r="M195" s="961"/>
      <c r="N195" s="961"/>
      <c r="O195" s="961">
        <v>0</v>
      </c>
      <c r="P195" s="962"/>
      <c r="Q195" s="962"/>
      <c r="R195" s="961"/>
      <c r="S195" s="961"/>
      <c r="T195" s="961"/>
      <c r="U195" s="961"/>
      <c r="V195" s="963"/>
      <c r="W195" s="963"/>
      <c r="X195" s="963"/>
    </row>
    <row r="196" spans="1:24" s="837" customFormat="1" ht="37.5">
      <c r="A196" s="959" t="s">
        <v>2469</v>
      </c>
      <c r="B196" s="964" t="s">
        <v>2289</v>
      </c>
      <c r="C196" s="961"/>
      <c r="D196" s="961"/>
      <c r="E196" s="961"/>
      <c r="F196" s="961"/>
      <c r="G196" s="961"/>
      <c r="H196" s="961"/>
      <c r="I196" s="961"/>
      <c r="J196" s="944">
        <v>1315.279</v>
      </c>
      <c r="K196" s="961">
        <v>1315.279</v>
      </c>
      <c r="L196" s="961"/>
      <c r="M196" s="961"/>
      <c r="N196" s="961"/>
      <c r="O196" s="961">
        <v>0</v>
      </c>
      <c r="P196" s="962"/>
      <c r="Q196" s="962"/>
      <c r="R196" s="961"/>
      <c r="S196" s="961"/>
      <c r="T196" s="961"/>
      <c r="U196" s="961"/>
      <c r="V196" s="963"/>
      <c r="W196" s="963"/>
      <c r="X196" s="963"/>
    </row>
    <row r="197" spans="1:24" s="837" customFormat="1" ht="56.25">
      <c r="A197" s="959" t="s">
        <v>2469</v>
      </c>
      <c r="B197" s="964" t="s">
        <v>2372</v>
      </c>
      <c r="C197" s="961"/>
      <c r="D197" s="961"/>
      <c r="E197" s="961"/>
      <c r="F197" s="961"/>
      <c r="G197" s="961"/>
      <c r="H197" s="961"/>
      <c r="I197" s="961"/>
      <c r="J197" s="944">
        <v>1500</v>
      </c>
      <c r="K197" s="961">
        <v>1500</v>
      </c>
      <c r="L197" s="961"/>
      <c r="M197" s="961"/>
      <c r="N197" s="961"/>
      <c r="O197" s="961">
        <v>0</v>
      </c>
      <c r="P197" s="962"/>
      <c r="Q197" s="962"/>
      <c r="R197" s="961"/>
      <c r="S197" s="961"/>
      <c r="T197" s="961"/>
      <c r="U197" s="961"/>
      <c r="V197" s="963"/>
      <c r="W197" s="963"/>
      <c r="X197" s="963"/>
    </row>
    <row r="198" spans="1:24" s="837" customFormat="1" ht="37.5">
      <c r="A198" s="959" t="s">
        <v>2469</v>
      </c>
      <c r="B198" s="964" t="s">
        <v>2373</v>
      </c>
      <c r="C198" s="961"/>
      <c r="D198" s="961"/>
      <c r="E198" s="961"/>
      <c r="F198" s="961"/>
      <c r="G198" s="961"/>
      <c r="H198" s="961"/>
      <c r="I198" s="961"/>
      <c r="J198" s="944">
        <v>883.54600000000005</v>
      </c>
      <c r="K198" s="961">
        <v>883.54600000000005</v>
      </c>
      <c r="L198" s="961"/>
      <c r="M198" s="961"/>
      <c r="N198" s="961"/>
      <c r="O198" s="961">
        <v>0</v>
      </c>
      <c r="P198" s="962"/>
      <c r="Q198" s="962"/>
      <c r="R198" s="961"/>
      <c r="S198" s="961"/>
      <c r="T198" s="961"/>
      <c r="U198" s="961"/>
      <c r="V198" s="963"/>
      <c r="W198" s="963"/>
      <c r="X198" s="963"/>
    </row>
    <row r="199" spans="1:24" s="837" customFormat="1" ht="37.5">
      <c r="A199" s="959" t="s">
        <v>2469</v>
      </c>
      <c r="B199" s="964" t="s">
        <v>2374</v>
      </c>
      <c r="C199" s="961"/>
      <c r="D199" s="961"/>
      <c r="E199" s="961"/>
      <c r="F199" s="961"/>
      <c r="G199" s="961"/>
      <c r="H199" s="961"/>
      <c r="I199" s="961"/>
      <c r="J199" s="944">
        <v>2182.9369999999999</v>
      </c>
      <c r="K199" s="961">
        <v>2182.9369999999999</v>
      </c>
      <c r="L199" s="961"/>
      <c r="M199" s="961"/>
      <c r="N199" s="961"/>
      <c r="O199" s="961">
        <v>0</v>
      </c>
      <c r="P199" s="962"/>
      <c r="Q199" s="962"/>
      <c r="R199" s="961"/>
      <c r="S199" s="961"/>
      <c r="T199" s="961"/>
      <c r="U199" s="961"/>
      <c r="V199" s="963"/>
      <c r="W199" s="963"/>
      <c r="X199" s="963"/>
    </row>
    <row r="200" spans="1:24" s="837" customFormat="1" ht="56.25">
      <c r="A200" s="959" t="s">
        <v>2469</v>
      </c>
      <c r="B200" s="964" t="s">
        <v>2375</v>
      </c>
      <c r="C200" s="961"/>
      <c r="D200" s="961"/>
      <c r="E200" s="961"/>
      <c r="F200" s="961"/>
      <c r="G200" s="961"/>
      <c r="H200" s="961"/>
      <c r="I200" s="961"/>
      <c r="J200" s="944">
        <v>2954.2350000000001</v>
      </c>
      <c r="K200" s="961">
        <v>2954.2350000000001</v>
      </c>
      <c r="L200" s="961"/>
      <c r="M200" s="961"/>
      <c r="N200" s="961"/>
      <c r="O200" s="961">
        <v>0</v>
      </c>
      <c r="P200" s="962"/>
      <c r="Q200" s="962"/>
      <c r="R200" s="961"/>
      <c r="S200" s="961"/>
      <c r="T200" s="961"/>
      <c r="U200" s="961"/>
      <c r="V200" s="963"/>
      <c r="W200" s="963"/>
      <c r="X200" s="963"/>
    </row>
    <row r="201" spans="1:24" s="837" customFormat="1">
      <c r="A201" s="959" t="s">
        <v>2469</v>
      </c>
      <c r="B201" s="964" t="s">
        <v>2376</v>
      </c>
      <c r="C201" s="961"/>
      <c r="D201" s="961"/>
      <c r="E201" s="961"/>
      <c r="F201" s="961"/>
      <c r="G201" s="961"/>
      <c r="H201" s="961"/>
      <c r="I201" s="961"/>
      <c r="J201" s="944">
        <v>2000</v>
      </c>
      <c r="K201" s="961">
        <v>2000</v>
      </c>
      <c r="L201" s="961"/>
      <c r="M201" s="961"/>
      <c r="N201" s="961"/>
      <c r="O201" s="961">
        <v>0</v>
      </c>
      <c r="P201" s="962"/>
      <c r="Q201" s="962"/>
      <c r="R201" s="961"/>
      <c r="S201" s="961"/>
      <c r="T201" s="961"/>
      <c r="U201" s="961"/>
      <c r="V201" s="963"/>
      <c r="W201" s="963"/>
      <c r="X201" s="963"/>
    </row>
    <row r="202" spans="1:24" s="837" customFormat="1" ht="56.25">
      <c r="A202" s="959" t="s">
        <v>2469</v>
      </c>
      <c r="B202" s="964" t="s">
        <v>2377</v>
      </c>
      <c r="C202" s="961"/>
      <c r="D202" s="961"/>
      <c r="E202" s="961"/>
      <c r="F202" s="961"/>
      <c r="G202" s="961"/>
      <c r="H202" s="961"/>
      <c r="I202" s="961"/>
      <c r="J202" s="944">
        <v>460.95</v>
      </c>
      <c r="K202" s="961">
        <v>460.95</v>
      </c>
      <c r="L202" s="961"/>
      <c r="M202" s="961"/>
      <c r="N202" s="961"/>
      <c r="O202" s="961">
        <v>0</v>
      </c>
      <c r="P202" s="962"/>
      <c r="Q202" s="962"/>
      <c r="R202" s="961"/>
      <c r="S202" s="961"/>
      <c r="T202" s="961"/>
      <c r="U202" s="961"/>
      <c r="V202" s="963"/>
      <c r="W202" s="963"/>
      <c r="X202" s="963"/>
    </row>
    <row r="203" spans="1:24" s="837" customFormat="1" ht="56.25">
      <c r="A203" s="959" t="s">
        <v>2469</v>
      </c>
      <c r="B203" s="964" t="s">
        <v>2378</v>
      </c>
      <c r="C203" s="961"/>
      <c r="D203" s="961"/>
      <c r="E203" s="961"/>
      <c r="F203" s="961"/>
      <c r="G203" s="961"/>
      <c r="H203" s="961"/>
      <c r="I203" s="961"/>
      <c r="J203" s="944">
        <v>2285.8789999999999</v>
      </c>
      <c r="K203" s="961">
        <v>2285.8789999999999</v>
      </c>
      <c r="L203" s="961"/>
      <c r="M203" s="961"/>
      <c r="N203" s="961"/>
      <c r="O203" s="961">
        <v>0</v>
      </c>
      <c r="P203" s="962"/>
      <c r="Q203" s="962"/>
      <c r="R203" s="961"/>
      <c r="S203" s="961"/>
      <c r="T203" s="961"/>
      <c r="U203" s="961"/>
      <c r="V203" s="963"/>
      <c r="W203" s="963"/>
      <c r="X203" s="963"/>
    </row>
    <row r="204" spans="1:24" s="837" customFormat="1" ht="56.25">
      <c r="A204" s="959" t="s">
        <v>2469</v>
      </c>
      <c r="B204" s="964" t="s">
        <v>2379</v>
      </c>
      <c r="C204" s="961"/>
      <c r="D204" s="961"/>
      <c r="E204" s="961"/>
      <c r="F204" s="961"/>
      <c r="G204" s="961"/>
      <c r="H204" s="961"/>
      <c r="I204" s="961"/>
      <c r="J204" s="944">
        <v>1950</v>
      </c>
      <c r="K204" s="961">
        <v>1950</v>
      </c>
      <c r="L204" s="961"/>
      <c r="M204" s="961"/>
      <c r="N204" s="961"/>
      <c r="O204" s="961">
        <v>0</v>
      </c>
      <c r="P204" s="962"/>
      <c r="Q204" s="962"/>
      <c r="R204" s="961"/>
      <c r="S204" s="961"/>
      <c r="T204" s="961"/>
      <c r="U204" s="961"/>
      <c r="V204" s="963"/>
      <c r="W204" s="963"/>
      <c r="X204" s="963"/>
    </row>
    <row r="205" spans="1:24" s="837" customFormat="1" ht="75">
      <c r="A205" s="959" t="s">
        <v>2469</v>
      </c>
      <c r="B205" s="964" t="s">
        <v>2380</v>
      </c>
      <c r="C205" s="961"/>
      <c r="D205" s="961"/>
      <c r="E205" s="961"/>
      <c r="F205" s="961"/>
      <c r="G205" s="961"/>
      <c r="H205" s="961"/>
      <c r="I205" s="961"/>
      <c r="J205" s="944">
        <v>4980</v>
      </c>
      <c r="K205" s="961">
        <v>4980</v>
      </c>
      <c r="L205" s="961"/>
      <c r="M205" s="961"/>
      <c r="N205" s="961"/>
      <c r="O205" s="961">
        <v>0</v>
      </c>
      <c r="P205" s="962"/>
      <c r="Q205" s="962"/>
      <c r="R205" s="961"/>
      <c r="S205" s="961"/>
      <c r="T205" s="961"/>
      <c r="U205" s="961"/>
      <c r="V205" s="963"/>
      <c r="W205" s="963"/>
      <c r="X205" s="963"/>
    </row>
    <row r="206" spans="1:24" s="837" customFormat="1" ht="37.5">
      <c r="A206" s="959" t="s">
        <v>2469</v>
      </c>
      <c r="B206" s="964" t="s">
        <v>2381</v>
      </c>
      <c r="C206" s="961"/>
      <c r="D206" s="961"/>
      <c r="E206" s="961"/>
      <c r="F206" s="961"/>
      <c r="G206" s="961"/>
      <c r="H206" s="961"/>
      <c r="I206" s="961"/>
      <c r="J206" s="944">
        <v>2601.1999999999998</v>
      </c>
      <c r="K206" s="961">
        <v>2601.1999999999998</v>
      </c>
      <c r="L206" s="961"/>
      <c r="M206" s="961"/>
      <c r="N206" s="961"/>
      <c r="O206" s="961">
        <v>0</v>
      </c>
      <c r="P206" s="962"/>
      <c r="Q206" s="962"/>
      <c r="R206" s="961"/>
      <c r="S206" s="961"/>
      <c r="T206" s="961"/>
      <c r="U206" s="961"/>
      <c r="V206" s="963"/>
      <c r="W206" s="963"/>
      <c r="X206" s="963"/>
    </row>
    <row r="207" spans="1:24" s="837" customFormat="1" ht="75">
      <c r="A207" s="959" t="s">
        <v>2469</v>
      </c>
      <c r="B207" s="964" t="s">
        <v>2584</v>
      </c>
      <c r="C207" s="961"/>
      <c r="D207" s="961"/>
      <c r="E207" s="961"/>
      <c r="F207" s="961"/>
      <c r="G207" s="961"/>
      <c r="H207" s="961"/>
      <c r="I207" s="961"/>
      <c r="J207" s="944">
        <v>392.01100000000002</v>
      </c>
      <c r="K207" s="961">
        <v>392.01100000000002</v>
      </c>
      <c r="L207" s="961"/>
      <c r="M207" s="961"/>
      <c r="N207" s="961"/>
      <c r="O207" s="961">
        <v>0</v>
      </c>
      <c r="P207" s="962"/>
      <c r="Q207" s="962"/>
      <c r="R207" s="961"/>
      <c r="S207" s="961"/>
      <c r="T207" s="961"/>
      <c r="U207" s="961"/>
      <c r="V207" s="963"/>
      <c r="W207" s="963"/>
      <c r="X207" s="963"/>
    </row>
    <row r="208" spans="1:24" s="837" customFormat="1" ht="37.5">
      <c r="A208" s="959" t="s">
        <v>2469</v>
      </c>
      <c r="B208" s="964" t="s">
        <v>2382</v>
      </c>
      <c r="C208" s="961"/>
      <c r="D208" s="961"/>
      <c r="E208" s="961"/>
      <c r="F208" s="961"/>
      <c r="G208" s="961"/>
      <c r="H208" s="961"/>
      <c r="I208" s="961"/>
      <c r="J208" s="944">
        <v>60.497</v>
      </c>
      <c r="K208" s="961">
        <v>60.497</v>
      </c>
      <c r="L208" s="961"/>
      <c r="M208" s="961"/>
      <c r="N208" s="961"/>
      <c r="O208" s="961">
        <v>0</v>
      </c>
      <c r="P208" s="962"/>
      <c r="Q208" s="962"/>
      <c r="R208" s="961"/>
      <c r="S208" s="961"/>
      <c r="T208" s="961"/>
      <c r="U208" s="961"/>
      <c r="V208" s="963"/>
      <c r="W208" s="963"/>
      <c r="X208" s="963"/>
    </row>
    <row r="209" spans="1:24" s="837" customFormat="1" ht="56.25">
      <c r="A209" s="959" t="s">
        <v>2469</v>
      </c>
      <c r="B209" s="964" t="s">
        <v>2383</v>
      </c>
      <c r="C209" s="961"/>
      <c r="D209" s="961"/>
      <c r="E209" s="961"/>
      <c r="F209" s="961"/>
      <c r="G209" s="961"/>
      <c r="H209" s="961"/>
      <c r="I209" s="961"/>
      <c r="J209" s="944">
        <v>4544.3710000000001</v>
      </c>
      <c r="K209" s="961">
        <v>4544.3710000000001</v>
      </c>
      <c r="L209" s="961"/>
      <c r="M209" s="961"/>
      <c r="N209" s="961"/>
      <c r="O209" s="961">
        <v>0</v>
      </c>
      <c r="P209" s="962"/>
      <c r="Q209" s="962"/>
      <c r="R209" s="961"/>
      <c r="S209" s="961"/>
      <c r="T209" s="961"/>
      <c r="U209" s="961"/>
      <c r="V209" s="963"/>
      <c r="W209" s="963"/>
      <c r="X209" s="963"/>
    </row>
    <row r="210" spans="1:24" s="837" customFormat="1" ht="37.5">
      <c r="A210" s="959" t="s">
        <v>2469</v>
      </c>
      <c r="B210" s="964" t="s">
        <v>2585</v>
      </c>
      <c r="C210" s="961"/>
      <c r="D210" s="961"/>
      <c r="E210" s="961"/>
      <c r="F210" s="961"/>
      <c r="G210" s="961"/>
      <c r="H210" s="961"/>
      <c r="I210" s="961"/>
      <c r="J210" s="944">
        <v>1064.6659999999999</v>
      </c>
      <c r="K210" s="961">
        <v>1064.6659999999999</v>
      </c>
      <c r="L210" s="961"/>
      <c r="M210" s="961"/>
      <c r="N210" s="961"/>
      <c r="O210" s="961">
        <v>0</v>
      </c>
      <c r="P210" s="962"/>
      <c r="Q210" s="962"/>
      <c r="R210" s="961"/>
      <c r="S210" s="961"/>
      <c r="T210" s="961"/>
      <c r="U210" s="961"/>
      <c r="V210" s="963"/>
      <c r="W210" s="963"/>
      <c r="X210" s="963"/>
    </row>
    <row r="211" spans="1:24" s="837" customFormat="1" ht="56.25">
      <c r="A211" s="959" t="s">
        <v>2469</v>
      </c>
      <c r="B211" s="964" t="s">
        <v>2586</v>
      </c>
      <c r="C211" s="961"/>
      <c r="D211" s="961"/>
      <c r="E211" s="961"/>
      <c r="F211" s="961"/>
      <c r="G211" s="961"/>
      <c r="H211" s="961"/>
      <c r="I211" s="961"/>
      <c r="J211" s="944">
        <v>1546.278</v>
      </c>
      <c r="K211" s="961">
        <v>1546.278</v>
      </c>
      <c r="L211" s="961"/>
      <c r="M211" s="961"/>
      <c r="N211" s="961"/>
      <c r="O211" s="961">
        <v>0</v>
      </c>
      <c r="P211" s="962"/>
      <c r="Q211" s="962"/>
      <c r="R211" s="961"/>
      <c r="S211" s="961"/>
      <c r="T211" s="961"/>
      <c r="U211" s="961"/>
      <c r="V211" s="963"/>
      <c r="W211" s="963"/>
      <c r="X211" s="963"/>
    </row>
    <row r="212" spans="1:24" s="837" customFormat="1" ht="37.5">
      <c r="A212" s="959" t="s">
        <v>2469</v>
      </c>
      <c r="B212" s="964" t="s">
        <v>2587</v>
      </c>
      <c r="C212" s="961"/>
      <c r="D212" s="961"/>
      <c r="E212" s="961"/>
      <c r="F212" s="961"/>
      <c r="G212" s="961"/>
      <c r="H212" s="961"/>
      <c r="I212" s="961"/>
      <c r="J212" s="944">
        <v>2108.7370000000001</v>
      </c>
      <c r="K212" s="961">
        <v>2108.7370000000001</v>
      </c>
      <c r="L212" s="961"/>
      <c r="M212" s="961"/>
      <c r="N212" s="961"/>
      <c r="O212" s="961">
        <v>0</v>
      </c>
      <c r="P212" s="962"/>
      <c r="Q212" s="962"/>
      <c r="R212" s="961"/>
      <c r="S212" s="961"/>
      <c r="T212" s="961"/>
      <c r="U212" s="961"/>
      <c r="V212" s="963"/>
      <c r="W212" s="963"/>
      <c r="X212" s="963"/>
    </row>
    <row r="213" spans="1:24" s="837" customFormat="1">
      <c r="A213" s="959" t="s">
        <v>2469</v>
      </c>
      <c r="B213" s="964"/>
      <c r="C213" s="961"/>
      <c r="D213" s="961"/>
      <c r="E213" s="961"/>
      <c r="F213" s="961"/>
      <c r="G213" s="961"/>
      <c r="H213" s="961"/>
      <c r="I213" s="961"/>
      <c r="J213" s="944">
        <v>0</v>
      </c>
      <c r="K213" s="961"/>
      <c r="L213" s="961"/>
      <c r="M213" s="961"/>
      <c r="N213" s="961"/>
      <c r="O213" s="961">
        <v>0</v>
      </c>
      <c r="P213" s="962"/>
      <c r="Q213" s="962"/>
      <c r="R213" s="961"/>
      <c r="S213" s="961"/>
      <c r="T213" s="961"/>
      <c r="U213" s="961"/>
      <c r="V213" s="963"/>
      <c r="W213" s="963"/>
      <c r="X213" s="963"/>
    </row>
    <row r="214" spans="1:24" s="837" customFormat="1">
      <c r="A214" s="959" t="s">
        <v>1883</v>
      </c>
      <c r="B214" s="964" t="s">
        <v>2473</v>
      </c>
      <c r="C214" s="961"/>
      <c r="D214" s="961"/>
      <c r="E214" s="961"/>
      <c r="F214" s="961"/>
      <c r="G214" s="961"/>
      <c r="H214" s="961"/>
      <c r="I214" s="961"/>
      <c r="J214" s="944">
        <v>22870.437999999998</v>
      </c>
      <c r="K214" s="961"/>
      <c r="L214" s="961">
        <v>22870.437999999998</v>
      </c>
      <c r="M214" s="961"/>
      <c r="N214" s="961"/>
      <c r="O214" s="961">
        <v>0</v>
      </c>
      <c r="P214" s="962"/>
      <c r="Q214" s="962"/>
      <c r="R214" s="961"/>
      <c r="S214" s="961"/>
      <c r="T214" s="961"/>
      <c r="U214" s="961"/>
      <c r="V214" s="963"/>
      <c r="W214" s="963"/>
      <c r="X214" s="963"/>
    </row>
    <row r="215" spans="1:24" s="837" customFormat="1" ht="37.5">
      <c r="A215" s="959" t="s">
        <v>2469</v>
      </c>
      <c r="B215" s="964" t="s">
        <v>2244</v>
      </c>
      <c r="C215" s="961"/>
      <c r="D215" s="961"/>
      <c r="E215" s="961"/>
      <c r="F215" s="961"/>
      <c r="G215" s="961"/>
      <c r="H215" s="961"/>
      <c r="I215" s="961"/>
      <c r="J215" s="944">
        <v>22870.437999999998</v>
      </c>
      <c r="K215" s="961"/>
      <c r="L215" s="961">
        <v>22870.437999999998</v>
      </c>
      <c r="M215" s="961"/>
      <c r="N215" s="961"/>
      <c r="O215" s="961">
        <v>0</v>
      </c>
      <c r="P215" s="962"/>
      <c r="Q215" s="962"/>
      <c r="R215" s="961"/>
      <c r="S215" s="961"/>
      <c r="T215" s="961"/>
      <c r="U215" s="961"/>
      <c r="V215" s="963"/>
      <c r="W215" s="963"/>
      <c r="X215" s="963"/>
    </row>
    <row r="216" spans="1:24" s="837" customFormat="1">
      <c r="A216" s="959" t="s">
        <v>1884</v>
      </c>
      <c r="B216" s="964" t="s">
        <v>2475</v>
      </c>
      <c r="C216" s="961"/>
      <c r="D216" s="961"/>
      <c r="E216" s="961"/>
      <c r="F216" s="961"/>
      <c r="G216" s="961"/>
      <c r="H216" s="961"/>
      <c r="I216" s="961"/>
      <c r="J216" s="944">
        <v>40770.922645999999</v>
      </c>
      <c r="K216" s="961"/>
      <c r="L216" s="961">
        <v>40770.922645999999</v>
      </c>
      <c r="M216" s="961"/>
      <c r="N216" s="961"/>
      <c r="O216" s="961">
        <v>0</v>
      </c>
      <c r="P216" s="962"/>
      <c r="Q216" s="962"/>
      <c r="R216" s="961"/>
      <c r="S216" s="961"/>
      <c r="T216" s="961"/>
      <c r="U216" s="961"/>
      <c r="V216" s="963"/>
      <c r="W216" s="963"/>
      <c r="X216" s="963"/>
    </row>
    <row r="217" spans="1:24" s="837" customFormat="1" ht="37.5">
      <c r="A217" s="959" t="s">
        <v>2469</v>
      </c>
      <c r="B217" s="964" t="s">
        <v>1990</v>
      </c>
      <c r="C217" s="961"/>
      <c r="D217" s="961"/>
      <c r="E217" s="961"/>
      <c r="F217" s="961"/>
      <c r="G217" s="961"/>
      <c r="H217" s="961"/>
      <c r="I217" s="961"/>
      <c r="J217" s="944">
        <v>3491.99</v>
      </c>
      <c r="K217" s="961"/>
      <c r="L217" s="961">
        <v>3491.99</v>
      </c>
      <c r="M217" s="961"/>
      <c r="N217" s="961"/>
      <c r="O217" s="961">
        <v>0</v>
      </c>
      <c r="P217" s="962"/>
      <c r="Q217" s="962"/>
      <c r="R217" s="961"/>
      <c r="S217" s="961"/>
      <c r="T217" s="961"/>
      <c r="U217" s="961"/>
      <c r="V217" s="963"/>
      <c r="W217" s="963"/>
      <c r="X217" s="963"/>
    </row>
    <row r="218" spans="1:24" s="837" customFormat="1" ht="37.5">
      <c r="A218" s="959" t="s">
        <v>2469</v>
      </c>
      <c r="B218" s="964" t="s">
        <v>1989</v>
      </c>
      <c r="C218" s="961"/>
      <c r="D218" s="961"/>
      <c r="E218" s="961"/>
      <c r="F218" s="961"/>
      <c r="G218" s="961"/>
      <c r="H218" s="961"/>
      <c r="I218" s="961"/>
      <c r="J218" s="944">
        <v>30639.802</v>
      </c>
      <c r="K218" s="961"/>
      <c r="L218" s="961">
        <v>30639.802</v>
      </c>
      <c r="M218" s="961"/>
      <c r="N218" s="961"/>
      <c r="O218" s="961">
        <v>0</v>
      </c>
      <c r="P218" s="962"/>
      <c r="Q218" s="962"/>
      <c r="R218" s="961"/>
      <c r="S218" s="961"/>
      <c r="T218" s="961"/>
      <c r="U218" s="961"/>
      <c r="V218" s="963"/>
      <c r="W218" s="963"/>
      <c r="X218" s="963"/>
    </row>
    <row r="219" spans="1:24" s="837" customFormat="1" ht="37.5">
      <c r="A219" s="959" t="s">
        <v>2469</v>
      </c>
      <c r="B219" s="964" t="s">
        <v>1991</v>
      </c>
      <c r="C219" s="961"/>
      <c r="D219" s="961"/>
      <c r="E219" s="961"/>
      <c r="F219" s="961"/>
      <c r="G219" s="961"/>
      <c r="H219" s="961"/>
      <c r="I219" s="961"/>
      <c r="J219" s="944">
        <v>6639.1306459999996</v>
      </c>
      <c r="K219" s="961"/>
      <c r="L219" s="961">
        <v>6639.1306459999996</v>
      </c>
      <c r="M219" s="961"/>
      <c r="N219" s="961"/>
      <c r="O219" s="961">
        <v>0</v>
      </c>
      <c r="P219" s="962"/>
      <c r="Q219" s="962"/>
      <c r="R219" s="961"/>
      <c r="S219" s="961"/>
      <c r="T219" s="961"/>
      <c r="U219" s="961"/>
      <c r="V219" s="963"/>
      <c r="W219" s="963"/>
      <c r="X219" s="963"/>
    </row>
    <row r="220" spans="1:24" s="837" customFormat="1">
      <c r="A220" s="959" t="s">
        <v>1885</v>
      </c>
      <c r="B220" s="964" t="s">
        <v>453</v>
      </c>
      <c r="C220" s="961"/>
      <c r="D220" s="961"/>
      <c r="E220" s="961"/>
      <c r="F220" s="961"/>
      <c r="G220" s="961"/>
      <c r="H220" s="961"/>
      <c r="I220" s="961"/>
      <c r="J220" s="944">
        <v>15416.633658999999</v>
      </c>
      <c r="K220" s="961"/>
      <c r="L220" s="961">
        <v>15416.633658999999</v>
      </c>
      <c r="M220" s="961"/>
      <c r="N220" s="961"/>
      <c r="O220" s="961">
        <v>0</v>
      </c>
      <c r="P220" s="962"/>
      <c r="Q220" s="962"/>
      <c r="R220" s="961"/>
      <c r="S220" s="961"/>
      <c r="T220" s="961"/>
      <c r="U220" s="961"/>
      <c r="V220" s="963"/>
      <c r="W220" s="963"/>
      <c r="X220" s="963"/>
    </row>
    <row r="221" spans="1:24" s="837" customFormat="1">
      <c r="A221" s="959" t="s">
        <v>2469</v>
      </c>
      <c r="B221" s="964" t="s">
        <v>1992</v>
      </c>
      <c r="C221" s="961"/>
      <c r="D221" s="961"/>
      <c r="E221" s="961"/>
      <c r="F221" s="961"/>
      <c r="G221" s="961"/>
      <c r="H221" s="961"/>
      <c r="I221" s="961"/>
      <c r="J221" s="944">
        <v>15416.633658999999</v>
      </c>
      <c r="K221" s="961"/>
      <c r="L221" s="961">
        <v>15416.633658999999</v>
      </c>
      <c r="M221" s="961"/>
      <c r="N221" s="961"/>
      <c r="O221" s="961">
        <v>0</v>
      </c>
      <c r="P221" s="962"/>
      <c r="Q221" s="962"/>
      <c r="R221" s="961"/>
      <c r="S221" s="961"/>
      <c r="T221" s="961"/>
      <c r="U221" s="961"/>
      <c r="V221" s="963"/>
      <c r="W221" s="963"/>
      <c r="X221" s="963"/>
    </row>
    <row r="222" spans="1:24" s="837" customFormat="1">
      <c r="A222" s="959" t="s">
        <v>1886</v>
      </c>
      <c r="B222" s="964" t="s">
        <v>2245</v>
      </c>
      <c r="C222" s="961"/>
      <c r="D222" s="961"/>
      <c r="E222" s="961"/>
      <c r="F222" s="961"/>
      <c r="G222" s="961"/>
      <c r="H222" s="961"/>
      <c r="I222" s="961"/>
      <c r="J222" s="944">
        <v>117517.79532400001</v>
      </c>
      <c r="K222" s="961"/>
      <c r="L222" s="961">
        <v>117517.79532400001</v>
      </c>
      <c r="M222" s="961"/>
      <c r="N222" s="961"/>
      <c r="O222" s="961">
        <v>0</v>
      </c>
      <c r="P222" s="962"/>
      <c r="Q222" s="962"/>
      <c r="R222" s="961"/>
      <c r="S222" s="961"/>
      <c r="T222" s="961"/>
      <c r="U222" s="961"/>
      <c r="V222" s="963"/>
      <c r="W222" s="963"/>
      <c r="X222" s="963"/>
    </row>
    <row r="223" spans="1:24" s="837" customFormat="1" ht="37.5">
      <c r="A223" s="959" t="s">
        <v>2469</v>
      </c>
      <c r="B223" s="964" t="s">
        <v>1994</v>
      </c>
      <c r="C223" s="961"/>
      <c r="D223" s="961"/>
      <c r="E223" s="961"/>
      <c r="F223" s="961"/>
      <c r="G223" s="961"/>
      <c r="H223" s="961"/>
      <c r="I223" s="961"/>
      <c r="J223" s="944">
        <v>7947.9952910000002</v>
      </c>
      <c r="K223" s="961"/>
      <c r="L223" s="961">
        <v>7947.9952910000002</v>
      </c>
      <c r="M223" s="961"/>
      <c r="N223" s="961"/>
      <c r="O223" s="961">
        <v>0</v>
      </c>
      <c r="P223" s="962"/>
      <c r="Q223" s="962"/>
      <c r="R223" s="961"/>
      <c r="S223" s="961"/>
      <c r="T223" s="961"/>
      <c r="U223" s="961"/>
      <c r="V223" s="963"/>
      <c r="W223" s="963"/>
      <c r="X223" s="963"/>
    </row>
    <row r="224" spans="1:24" s="837" customFormat="1" ht="37.5">
      <c r="A224" s="959" t="s">
        <v>2469</v>
      </c>
      <c r="B224" s="964" t="s">
        <v>1995</v>
      </c>
      <c r="C224" s="961"/>
      <c r="D224" s="961"/>
      <c r="E224" s="961"/>
      <c r="F224" s="961"/>
      <c r="G224" s="961"/>
      <c r="H224" s="961"/>
      <c r="I224" s="961"/>
      <c r="J224" s="944">
        <v>1469</v>
      </c>
      <c r="K224" s="961"/>
      <c r="L224" s="961">
        <v>1469</v>
      </c>
      <c r="M224" s="961"/>
      <c r="N224" s="961"/>
      <c r="O224" s="961">
        <v>0</v>
      </c>
      <c r="P224" s="962"/>
      <c r="Q224" s="962"/>
      <c r="R224" s="961"/>
      <c r="S224" s="961"/>
      <c r="T224" s="961"/>
      <c r="U224" s="961"/>
      <c r="V224" s="963"/>
      <c r="W224" s="963"/>
      <c r="X224" s="963"/>
    </row>
    <row r="225" spans="1:24" s="837" customFormat="1" ht="37.5">
      <c r="A225" s="959" t="s">
        <v>2469</v>
      </c>
      <c r="B225" s="964" t="s">
        <v>1996</v>
      </c>
      <c r="C225" s="961"/>
      <c r="D225" s="961"/>
      <c r="E225" s="961"/>
      <c r="F225" s="961"/>
      <c r="G225" s="961"/>
      <c r="H225" s="961"/>
      <c r="I225" s="961"/>
      <c r="J225" s="944">
        <v>1922.657596</v>
      </c>
      <c r="K225" s="961"/>
      <c r="L225" s="961">
        <v>1922.657596</v>
      </c>
      <c r="M225" s="961"/>
      <c r="N225" s="961"/>
      <c r="O225" s="961">
        <v>0</v>
      </c>
      <c r="P225" s="962"/>
      <c r="Q225" s="962"/>
      <c r="R225" s="961"/>
      <c r="S225" s="961"/>
      <c r="T225" s="961"/>
      <c r="U225" s="961"/>
      <c r="V225" s="963"/>
      <c r="W225" s="963"/>
      <c r="X225" s="963"/>
    </row>
    <row r="226" spans="1:24" s="837" customFormat="1" ht="37.5">
      <c r="A226" s="959" t="s">
        <v>2469</v>
      </c>
      <c r="B226" s="964" t="s">
        <v>1993</v>
      </c>
      <c r="C226" s="961"/>
      <c r="D226" s="961"/>
      <c r="E226" s="961"/>
      <c r="F226" s="961"/>
      <c r="G226" s="961"/>
      <c r="H226" s="961"/>
      <c r="I226" s="961"/>
      <c r="J226" s="944">
        <v>5574.1986999999999</v>
      </c>
      <c r="K226" s="961"/>
      <c r="L226" s="961">
        <v>5574.1986999999999</v>
      </c>
      <c r="M226" s="961"/>
      <c r="N226" s="961"/>
      <c r="O226" s="961">
        <v>0</v>
      </c>
      <c r="P226" s="962"/>
      <c r="Q226" s="962"/>
      <c r="R226" s="961"/>
      <c r="S226" s="961"/>
      <c r="T226" s="961"/>
      <c r="U226" s="961"/>
      <c r="V226" s="963"/>
      <c r="W226" s="963"/>
      <c r="X226" s="963"/>
    </row>
    <row r="227" spans="1:24" s="837" customFormat="1" ht="37.5">
      <c r="A227" s="959" t="s">
        <v>2469</v>
      </c>
      <c r="B227" s="964" t="s">
        <v>1997</v>
      </c>
      <c r="C227" s="961"/>
      <c r="D227" s="961"/>
      <c r="E227" s="961"/>
      <c r="F227" s="961"/>
      <c r="G227" s="961"/>
      <c r="H227" s="961"/>
      <c r="I227" s="961"/>
      <c r="J227" s="944">
        <v>216</v>
      </c>
      <c r="K227" s="961"/>
      <c r="L227" s="961">
        <v>216</v>
      </c>
      <c r="M227" s="961"/>
      <c r="N227" s="961"/>
      <c r="O227" s="961">
        <v>0</v>
      </c>
      <c r="P227" s="962"/>
      <c r="Q227" s="962"/>
      <c r="R227" s="961"/>
      <c r="S227" s="961"/>
      <c r="T227" s="961"/>
      <c r="U227" s="961"/>
      <c r="V227" s="963"/>
      <c r="W227" s="963"/>
      <c r="X227" s="963"/>
    </row>
    <row r="228" spans="1:24" s="837" customFormat="1" ht="37.5">
      <c r="A228" s="959" t="s">
        <v>2469</v>
      </c>
      <c r="B228" s="964" t="s">
        <v>1998</v>
      </c>
      <c r="C228" s="961"/>
      <c r="D228" s="961"/>
      <c r="E228" s="961"/>
      <c r="F228" s="961"/>
      <c r="G228" s="961"/>
      <c r="H228" s="961"/>
      <c r="I228" s="961"/>
      <c r="J228" s="944">
        <v>81</v>
      </c>
      <c r="K228" s="961"/>
      <c r="L228" s="961">
        <v>81</v>
      </c>
      <c r="M228" s="961"/>
      <c r="N228" s="961"/>
      <c r="O228" s="961">
        <v>0</v>
      </c>
      <c r="P228" s="962"/>
      <c r="Q228" s="962"/>
      <c r="R228" s="961"/>
      <c r="S228" s="961"/>
      <c r="T228" s="961"/>
      <c r="U228" s="961"/>
      <c r="V228" s="963"/>
      <c r="W228" s="963"/>
      <c r="X228" s="963"/>
    </row>
    <row r="229" spans="1:24" s="837" customFormat="1" ht="37.5">
      <c r="A229" s="959" t="s">
        <v>2469</v>
      </c>
      <c r="B229" s="964" t="s">
        <v>1999</v>
      </c>
      <c r="C229" s="961"/>
      <c r="D229" s="961"/>
      <c r="E229" s="961"/>
      <c r="F229" s="961"/>
      <c r="G229" s="961"/>
      <c r="H229" s="961"/>
      <c r="I229" s="961"/>
      <c r="J229" s="944">
        <v>3356.1044860000002</v>
      </c>
      <c r="K229" s="961"/>
      <c r="L229" s="961">
        <v>3356.1044860000002</v>
      </c>
      <c r="M229" s="961"/>
      <c r="N229" s="961"/>
      <c r="O229" s="961">
        <v>0</v>
      </c>
      <c r="P229" s="962"/>
      <c r="Q229" s="962"/>
      <c r="R229" s="961"/>
      <c r="S229" s="961"/>
      <c r="T229" s="961"/>
      <c r="U229" s="961"/>
      <c r="V229" s="963"/>
      <c r="W229" s="963"/>
      <c r="X229" s="963"/>
    </row>
    <row r="230" spans="1:24" s="837" customFormat="1">
      <c r="A230" s="959" t="s">
        <v>2469</v>
      </c>
      <c r="B230" s="964" t="s">
        <v>2000</v>
      </c>
      <c r="C230" s="961"/>
      <c r="D230" s="961"/>
      <c r="E230" s="961"/>
      <c r="F230" s="961"/>
      <c r="G230" s="961"/>
      <c r="H230" s="961"/>
      <c r="I230" s="961"/>
      <c r="J230" s="944">
        <v>2010.8889999999999</v>
      </c>
      <c r="K230" s="961"/>
      <c r="L230" s="961">
        <v>2010.8889999999999</v>
      </c>
      <c r="M230" s="961"/>
      <c r="N230" s="961"/>
      <c r="O230" s="961">
        <v>0</v>
      </c>
      <c r="P230" s="962"/>
      <c r="Q230" s="962"/>
      <c r="R230" s="961"/>
      <c r="S230" s="961"/>
      <c r="T230" s="961"/>
      <c r="U230" s="961"/>
      <c r="V230" s="963"/>
      <c r="W230" s="963"/>
      <c r="X230" s="963"/>
    </row>
    <row r="231" spans="1:24" s="837" customFormat="1">
      <c r="A231" s="959" t="s">
        <v>2469</v>
      </c>
      <c r="B231" s="964" t="s">
        <v>2001</v>
      </c>
      <c r="C231" s="961"/>
      <c r="D231" s="961"/>
      <c r="E231" s="961"/>
      <c r="F231" s="961"/>
      <c r="G231" s="961"/>
      <c r="H231" s="961"/>
      <c r="I231" s="961"/>
      <c r="J231" s="944">
        <v>2632.8311950000002</v>
      </c>
      <c r="K231" s="961"/>
      <c r="L231" s="961">
        <v>2632.8311950000002</v>
      </c>
      <c r="M231" s="961"/>
      <c r="N231" s="961"/>
      <c r="O231" s="961">
        <v>0</v>
      </c>
      <c r="P231" s="962"/>
      <c r="Q231" s="962"/>
      <c r="R231" s="961"/>
      <c r="S231" s="961"/>
      <c r="T231" s="961"/>
      <c r="U231" s="961"/>
      <c r="V231" s="963"/>
      <c r="W231" s="963"/>
      <c r="X231" s="963"/>
    </row>
    <row r="232" spans="1:24" s="837" customFormat="1" ht="37.5">
      <c r="A232" s="959" t="s">
        <v>2469</v>
      </c>
      <c r="B232" s="964" t="s">
        <v>2002</v>
      </c>
      <c r="C232" s="961"/>
      <c r="D232" s="961"/>
      <c r="E232" s="961"/>
      <c r="F232" s="961"/>
      <c r="G232" s="961"/>
      <c r="H232" s="961"/>
      <c r="I232" s="961"/>
      <c r="J232" s="944">
        <v>9938.2185960000006</v>
      </c>
      <c r="K232" s="961"/>
      <c r="L232" s="961">
        <v>9938.2185960000006</v>
      </c>
      <c r="M232" s="961"/>
      <c r="N232" s="961"/>
      <c r="O232" s="961">
        <v>0</v>
      </c>
      <c r="P232" s="962"/>
      <c r="Q232" s="962"/>
      <c r="R232" s="961"/>
      <c r="S232" s="961"/>
      <c r="T232" s="961"/>
      <c r="U232" s="961"/>
      <c r="V232" s="963"/>
      <c r="W232" s="963"/>
      <c r="X232" s="963"/>
    </row>
    <row r="233" spans="1:24" s="837" customFormat="1">
      <c r="A233" s="959" t="s">
        <v>2469</v>
      </c>
      <c r="B233" s="964" t="s">
        <v>2003</v>
      </c>
      <c r="C233" s="961"/>
      <c r="D233" s="961"/>
      <c r="E233" s="961"/>
      <c r="F233" s="961"/>
      <c r="G233" s="961"/>
      <c r="H233" s="961"/>
      <c r="I233" s="961"/>
      <c r="J233" s="944">
        <v>6711.6440789999997</v>
      </c>
      <c r="K233" s="961"/>
      <c r="L233" s="961">
        <v>6711.6440789999997</v>
      </c>
      <c r="M233" s="961"/>
      <c r="N233" s="961"/>
      <c r="O233" s="961">
        <v>0</v>
      </c>
      <c r="P233" s="962"/>
      <c r="Q233" s="962"/>
      <c r="R233" s="961"/>
      <c r="S233" s="961"/>
      <c r="T233" s="961"/>
      <c r="U233" s="961"/>
      <c r="V233" s="963"/>
      <c r="W233" s="963"/>
      <c r="X233" s="963"/>
    </row>
    <row r="234" spans="1:24" s="837" customFormat="1">
      <c r="A234" s="959" t="s">
        <v>2469</v>
      </c>
      <c r="B234" s="964" t="s">
        <v>2004</v>
      </c>
      <c r="C234" s="961"/>
      <c r="D234" s="961"/>
      <c r="E234" s="961"/>
      <c r="F234" s="961"/>
      <c r="G234" s="961"/>
      <c r="H234" s="961"/>
      <c r="I234" s="961"/>
      <c r="J234" s="944">
        <v>2006.587</v>
      </c>
      <c r="K234" s="961"/>
      <c r="L234" s="961">
        <v>2006.587</v>
      </c>
      <c r="M234" s="961"/>
      <c r="N234" s="961"/>
      <c r="O234" s="961">
        <v>0</v>
      </c>
      <c r="P234" s="962"/>
      <c r="Q234" s="962"/>
      <c r="R234" s="961"/>
      <c r="S234" s="961"/>
      <c r="T234" s="961"/>
      <c r="U234" s="961"/>
      <c r="V234" s="963"/>
      <c r="W234" s="963"/>
      <c r="X234" s="963"/>
    </row>
    <row r="235" spans="1:24" s="837" customFormat="1" ht="37.5">
      <c r="A235" s="959" t="s">
        <v>2469</v>
      </c>
      <c r="B235" s="964" t="s">
        <v>2476</v>
      </c>
      <c r="C235" s="961"/>
      <c r="D235" s="961"/>
      <c r="E235" s="961"/>
      <c r="F235" s="961"/>
      <c r="G235" s="961"/>
      <c r="H235" s="961"/>
      <c r="I235" s="961"/>
      <c r="J235" s="944">
        <v>604.27402600000005</v>
      </c>
      <c r="K235" s="961"/>
      <c r="L235" s="961">
        <v>604.27402600000005</v>
      </c>
      <c r="M235" s="961"/>
      <c r="N235" s="961"/>
      <c r="O235" s="961">
        <v>0</v>
      </c>
      <c r="P235" s="962"/>
      <c r="Q235" s="962"/>
      <c r="R235" s="961"/>
      <c r="S235" s="961"/>
      <c r="T235" s="961"/>
      <c r="U235" s="961"/>
      <c r="V235" s="963"/>
      <c r="W235" s="963"/>
      <c r="X235" s="963"/>
    </row>
    <row r="236" spans="1:24" s="837" customFormat="1">
      <c r="A236" s="959" t="s">
        <v>2469</v>
      </c>
      <c r="B236" s="964" t="s">
        <v>2005</v>
      </c>
      <c r="C236" s="961"/>
      <c r="D236" s="961"/>
      <c r="E236" s="961"/>
      <c r="F236" s="961"/>
      <c r="G236" s="961"/>
      <c r="H236" s="961"/>
      <c r="I236" s="961"/>
      <c r="J236" s="944">
        <v>4479.1707349999997</v>
      </c>
      <c r="K236" s="961"/>
      <c r="L236" s="961">
        <v>4479.1707349999997</v>
      </c>
      <c r="M236" s="961"/>
      <c r="N236" s="961"/>
      <c r="O236" s="961">
        <v>0</v>
      </c>
      <c r="P236" s="962"/>
      <c r="Q236" s="962"/>
      <c r="R236" s="961"/>
      <c r="S236" s="961"/>
      <c r="T236" s="961"/>
      <c r="U236" s="961"/>
      <c r="V236" s="963"/>
      <c r="W236" s="963"/>
      <c r="X236" s="963"/>
    </row>
    <row r="237" spans="1:24" s="837" customFormat="1">
      <c r="A237" s="959" t="s">
        <v>2469</v>
      </c>
      <c r="B237" s="964" t="s">
        <v>2006</v>
      </c>
      <c r="C237" s="961"/>
      <c r="D237" s="961"/>
      <c r="E237" s="961"/>
      <c r="F237" s="961"/>
      <c r="G237" s="961"/>
      <c r="H237" s="961"/>
      <c r="I237" s="961"/>
      <c r="J237" s="944">
        <v>1758.0989999999999</v>
      </c>
      <c r="K237" s="961"/>
      <c r="L237" s="961">
        <v>1758.0989999999999</v>
      </c>
      <c r="M237" s="961"/>
      <c r="N237" s="961"/>
      <c r="O237" s="961">
        <v>0</v>
      </c>
      <c r="P237" s="962"/>
      <c r="Q237" s="962"/>
      <c r="R237" s="961"/>
      <c r="S237" s="961"/>
      <c r="T237" s="961"/>
      <c r="U237" s="961"/>
      <c r="V237" s="963"/>
      <c r="W237" s="963"/>
      <c r="X237" s="963"/>
    </row>
    <row r="238" spans="1:24" s="837" customFormat="1">
      <c r="A238" s="959" t="s">
        <v>2469</v>
      </c>
      <c r="B238" s="964" t="s">
        <v>2007</v>
      </c>
      <c r="C238" s="961"/>
      <c r="D238" s="961"/>
      <c r="E238" s="961"/>
      <c r="F238" s="961"/>
      <c r="G238" s="961"/>
      <c r="H238" s="961"/>
      <c r="I238" s="961"/>
      <c r="J238" s="944">
        <v>2221.377</v>
      </c>
      <c r="K238" s="961"/>
      <c r="L238" s="961">
        <v>2221.377</v>
      </c>
      <c r="M238" s="961"/>
      <c r="N238" s="961"/>
      <c r="O238" s="961">
        <v>0</v>
      </c>
      <c r="P238" s="962"/>
      <c r="Q238" s="962"/>
      <c r="R238" s="961"/>
      <c r="S238" s="961"/>
      <c r="T238" s="961"/>
      <c r="U238" s="961"/>
      <c r="V238" s="963"/>
      <c r="W238" s="963"/>
      <c r="X238" s="963"/>
    </row>
    <row r="239" spans="1:24" s="837" customFormat="1" ht="37.5">
      <c r="A239" s="959" t="s">
        <v>2469</v>
      </c>
      <c r="B239" s="964" t="s">
        <v>2008</v>
      </c>
      <c r="C239" s="961"/>
      <c r="D239" s="961"/>
      <c r="E239" s="961"/>
      <c r="F239" s="961"/>
      <c r="G239" s="961"/>
      <c r="H239" s="961"/>
      <c r="I239" s="961"/>
      <c r="J239" s="944">
        <v>1625.8724010000001</v>
      </c>
      <c r="K239" s="961"/>
      <c r="L239" s="961">
        <v>1625.8724010000001</v>
      </c>
      <c r="M239" s="961"/>
      <c r="N239" s="961"/>
      <c r="O239" s="961">
        <v>0</v>
      </c>
      <c r="P239" s="962"/>
      <c r="Q239" s="962"/>
      <c r="R239" s="961"/>
      <c r="S239" s="961"/>
      <c r="T239" s="961"/>
      <c r="U239" s="961"/>
      <c r="V239" s="963"/>
      <c r="W239" s="963"/>
      <c r="X239" s="963"/>
    </row>
    <row r="240" spans="1:24" s="837" customFormat="1" ht="37.5">
      <c r="A240" s="959" t="s">
        <v>2469</v>
      </c>
      <c r="B240" s="964" t="s">
        <v>2009</v>
      </c>
      <c r="C240" s="961"/>
      <c r="D240" s="961"/>
      <c r="E240" s="961"/>
      <c r="F240" s="961"/>
      <c r="G240" s="961"/>
      <c r="H240" s="961"/>
      <c r="I240" s="961"/>
      <c r="J240" s="944">
        <v>3428.3680180000001</v>
      </c>
      <c r="K240" s="961"/>
      <c r="L240" s="961">
        <v>3428.3680180000001</v>
      </c>
      <c r="M240" s="961"/>
      <c r="N240" s="961"/>
      <c r="O240" s="961">
        <v>0</v>
      </c>
      <c r="P240" s="962"/>
      <c r="Q240" s="962"/>
      <c r="R240" s="961"/>
      <c r="S240" s="961"/>
      <c r="T240" s="961"/>
      <c r="U240" s="961"/>
      <c r="V240" s="963"/>
      <c r="W240" s="963"/>
      <c r="X240" s="963"/>
    </row>
    <row r="241" spans="1:24" s="837" customFormat="1">
      <c r="A241" s="959" t="s">
        <v>2469</v>
      </c>
      <c r="B241" s="964" t="s">
        <v>2010</v>
      </c>
      <c r="C241" s="961"/>
      <c r="D241" s="961"/>
      <c r="E241" s="961"/>
      <c r="F241" s="961"/>
      <c r="G241" s="961"/>
      <c r="H241" s="961"/>
      <c r="I241" s="961"/>
      <c r="J241" s="944">
        <v>4741.4630269999998</v>
      </c>
      <c r="K241" s="961"/>
      <c r="L241" s="961">
        <v>4741.4630269999998</v>
      </c>
      <c r="M241" s="961"/>
      <c r="N241" s="961"/>
      <c r="O241" s="961">
        <v>0</v>
      </c>
      <c r="P241" s="962"/>
      <c r="Q241" s="962"/>
      <c r="R241" s="961"/>
      <c r="S241" s="961"/>
      <c r="T241" s="961"/>
      <c r="U241" s="961"/>
      <c r="V241" s="963"/>
      <c r="W241" s="963"/>
      <c r="X241" s="963"/>
    </row>
    <row r="242" spans="1:24" s="837" customFormat="1" ht="37.5">
      <c r="A242" s="959" t="s">
        <v>2469</v>
      </c>
      <c r="B242" s="964" t="s">
        <v>2011</v>
      </c>
      <c r="C242" s="961"/>
      <c r="D242" s="961"/>
      <c r="E242" s="961"/>
      <c r="F242" s="961"/>
      <c r="G242" s="961"/>
      <c r="H242" s="961"/>
      <c r="I242" s="961"/>
      <c r="J242" s="944">
        <v>14042.823742</v>
      </c>
      <c r="K242" s="961"/>
      <c r="L242" s="961">
        <v>14042.823742</v>
      </c>
      <c r="M242" s="961"/>
      <c r="N242" s="961"/>
      <c r="O242" s="961">
        <v>0</v>
      </c>
      <c r="P242" s="962"/>
      <c r="Q242" s="962"/>
      <c r="R242" s="961"/>
      <c r="S242" s="961"/>
      <c r="T242" s="961"/>
      <c r="U242" s="961"/>
      <c r="V242" s="963"/>
      <c r="W242" s="963"/>
      <c r="X242" s="963"/>
    </row>
    <row r="243" spans="1:24" s="837" customFormat="1" ht="37.5">
      <c r="A243" s="959" t="s">
        <v>2469</v>
      </c>
      <c r="B243" s="964" t="s">
        <v>2012</v>
      </c>
      <c r="C243" s="961"/>
      <c r="D243" s="961"/>
      <c r="E243" s="961"/>
      <c r="F243" s="961"/>
      <c r="G243" s="961"/>
      <c r="H243" s="961"/>
      <c r="I243" s="961"/>
      <c r="J243" s="944">
        <v>3785.4</v>
      </c>
      <c r="K243" s="961"/>
      <c r="L243" s="961">
        <v>3785.4</v>
      </c>
      <c r="M243" s="961"/>
      <c r="N243" s="961"/>
      <c r="O243" s="961">
        <v>0</v>
      </c>
      <c r="P243" s="962"/>
      <c r="Q243" s="962"/>
      <c r="R243" s="961"/>
      <c r="S243" s="961"/>
      <c r="T243" s="961"/>
      <c r="U243" s="961"/>
      <c r="V243" s="963"/>
      <c r="W243" s="963"/>
      <c r="X243" s="963"/>
    </row>
    <row r="244" spans="1:24" s="837" customFormat="1">
      <c r="A244" s="959" t="s">
        <v>2469</v>
      </c>
      <c r="B244" s="964" t="s">
        <v>2013</v>
      </c>
      <c r="C244" s="961"/>
      <c r="D244" s="961"/>
      <c r="E244" s="961"/>
      <c r="F244" s="961"/>
      <c r="G244" s="961"/>
      <c r="H244" s="961"/>
      <c r="I244" s="961"/>
      <c r="J244" s="944">
        <v>9913.8828429999994</v>
      </c>
      <c r="K244" s="961"/>
      <c r="L244" s="961">
        <v>9913.8828429999994</v>
      </c>
      <c r="M244" s="961"/>
      <c r="N244" s="961"/>
      <c r="O244" s="961">
        <v>0</v>
      </c>
      <c r="P244" s="962"/>
      <c r="Q244" s="962"/>
      <c r="R244" s="961"/>
      <c r="S244" s="961"/>
      <c r="T244" s="961"/>
      <c r="U244" s="961"/>
      <c r="V244" s="963"/>
      <c r="W244" s="963"/>
      <c r="X244" s="963"/>
    </row>
    <row r="245" spans="1:24" s="837" customFormat="1">
      <c r="A245" s="959" t="s">
        <v>2469</v>
      </c>
      <c r="B245" s="964" t="s">
        <v>2014</v>
      </c>
      <c r="C245" s="961"/>
      <c r="D245" s="961"/>
      <c r="E245" s="961"/>
      <c r="F245" s="961"/>
      <c r="G245" s="961"/>
      <c r="H245" s="961"/>
      <c r="I245" s="961"/>
      <c r="J245" s="944">
        <v>12536.962356</v>
      </c>
      <c r="K245" s="961"/>
      <c r="L245" s="961">
        <v>12536.962356</v>
      </c>
      <c r="M245" s="961"/>
      <c r="N245" s="961"/>
      <c r="O245" s="961">
        <v>0</v>
      </c>
      <c r="P245" s="962"/>
      <c r="Q245" s="962"/>
      <c r="R245" s="961"/>
      <c r="S245" s="961"/>
      <c r="T245" s="961"/>
      <c r="U245" s="961"/>
      <c r="V245" s="963"/>
      <c r="W245" s="963"/>
      <c r="X245" s="963"/>
    </row>
    <row r="246" spans="1:24" s="837" customFormat="1" ht="37.5">
      <c r="A246" s="959" t="s">
        <v>2469</v>
      </c>
      <c r="B246" s="964" t="s">
        <v>2015</v>
      </c>
      <c r="C246" s="961"/>
      <c r="D246" s="961"/>
      <c r="E246" s="961"/>
      <c r="F246" s="961"/>
      <c r="G246" s="961"/>
      <c r="H246" s="961"/>
      <c r="I246" s="961"/>
      <c r="J246" s="944">
        <v>3178.5463679999998</v>
      </c>
      <c r="K246" s="961"/>
      <c r="L246" s="961">
        <v>3178.5463679999998</v>
      </c>
      <c r="M246" s="961"/>
      <c r="N246" s="961"/>
      <c r="O246" s="961">
        <v>0</v>
      </c>
      <c r="P246" s="962"/>
      <c r="Q246" s="962"/>
      <c r="R246" s="961"/>
      <c r="S246" s="961"/>
      <c r="T246" s="961"/>
      <c r="U246" s="961"/>
      <c r="V246" s="963"/>
      <c r="W246" s="963"/>
      <c r="X246" s="963"/>
    </row>
    <row r="247" spans="1:24" s="837" customFormat="1" ht="37.5">
      <c r="A247" s="959" t="s">
        <v>2469</v>
      </c>
      <c r="B247" s="964" t="s">
        <v>2016</v>
      </c>
      <c r="C247" s="961"/>
      <c r="D247" s="961"/>
      <c r="E247" s="961"/>
      <c r="F247" s="961"/>
      <c r="G247" s="961"/>
      <c r="H247" s="961"/>
      <c r="I247" s="961"/>
      <c r="J247" s="944">
        <v>1972.7984240000001</v>
      </c>
      <c r="K247" s="961"/>
      <c r="L247" s="961">
        <v>1972.7984240000001</v>
      </c>
      <c r="M247" s="961"/>
      <c r="N247" s="961"/>
      <c r="O247" s="961">
        <v>0</v>
      </c>
      <c r="P247" s="962"/>
      <c r="Q247" s="962"/>
      <c r="R247" s="961"/>
      <c r="S247" s="961"/>
      <c r="T247" s="961"/>
      <c r="U247" s="961"/>
      <c r="V247" s="963"/>
      <c r="W247" s="963"/>
      <c r="X247" s="963"/>
    </row>
    <row r="248" spans="1:24" s="837" customFormat="1" ht="37.5">
      <c r="A248" s="959" t="s">
        <v>2469</v>
      </c>
      <c r="B248" s="964" t="s">
        <v>2017</v>
      </c>
      <c r="C248" s="961"/>
      <c r="D248" s="961"/>
      <c r="E248" s="961"/>
      <c r="F248" s="961"/>
      <c r="G248" s="961"/>
      <c r="H248" s="961"/>
      <c r="I248" s="961"/>
      <c r="J248" s="944">
        <v>3638.8397399999999</v>
      </c>
      <c r="K248" s="961"/>
      <c r="L248" s="961">
        <v>3638.8397399999999</v>
      </c>
      <c r="M248" s="961"/>
      <c r="N248" s="961"/>
      <c r="O248" s="961">
        <v>0</v>
      </c>
      <c r="P248" s="962"/>
      <c r="Q248" s="962"/>
      <c r="R248" s="961"/>
      <c r="S248" s="961"/>
      <c r="T248" s="961"/>
      <c r="U248" s="961"/>
      <c r="V248" s="963"/>
      <c r="W248" s="963"/>
      <c r="X248" s="963"/>
    </row>
    <row r="249" spans="1:24" s="837" customFormat="1" ht="56.25">
      <c r="A249" s="959" t="s">
        <v>2469</v>
      </c>
      <c r="B249" s="964" t="s">
        <v>2018</v>
      </c>
      <c r="C249" s="961"/>
      <c r="D249" s="961"/>
      <c r="E249" s="961"/>
      <c r="F249" s="961"/>
      <c r="G249" s="961"/>
      <c r="H249" s="961"/>
      <c r="I249" s="961"/>
      <c r="J249" s="944">
        <v>768.55046400000003</v>
      </c>
      <c r="K249" s="961"/>
      <c r="L249" s="961">
        <v>768.55046400000003</v>
      </c>
      <c r="M249" s="961"/>
      <c r="N249" s="961"/>
      <c r="O249" s="961">
        <v>0</v>
      </c>
      <c r="P249" s="962"/>
      <c r="Q249" s="962"/>
      <c r="R249" s="961"/>
      <c r="S249" s="961"/>
      <c r="T249" s="961"/>
      <c r="U249" s="961"/>
      <c r="V249" s="963"/>
      <c r="W249" s="963"/>
      <c r="X249" s="963"/>
    </row>
    <row r="250" spans="1:24" s="837" customFormat="1" ht="37.5">
      <c r="A250" s="959" t="s">
        <v>2469</v>
      </c>
      <c r="B250" s="964" t="s">
        <v>2019</v>
      </c>
      <c r="C250" s="961"/>
      <c r="D250" s="961"/>
      <c r="E250" s="961"/>
      <c r="F250" s="961"/>
      <c r="G250" s="961"/>
      <c r="H250" s="961"/>
      <c r="I250" s="961"/>
      <c r="J250" s="944">
        <v>3704.224307</v>
      </c>
      <c r="K250" s="961"/>
      <c r="L250" s="961">
        <v>3704.224307</v>
      </c>
      <c r="M250" s="961"/>
      <c r="N250" s="961"/>
      <c r="O250" s="961">
        <v>0</v>
      </c>
      <c r="P250" s="962"/>
      <c r="Q250" s="962"/>
      <c r="R250" s="961"/>
      <c r="S250" s="961"/>
      <c r="T250" s="961"/>
      <c r="U250" s="961"/>
      <c r="V250" s="963"/>
      <c r="W250" s="963"/>
      <c r="X250" s="963"/>
    </row>
    <row r="251" spans="1:24" s="837" customFormat="1" ht="56.25">
      <c r="A251" s="959" t="s">
        <v>2469</v>
      </c>
      <c r="B251" s="964" t="s">
        <v>2020</v>
      </c>
      <c r="C251" s="961"/>
      <c r="D251" s="961"/>
      <c r="E251" s="961"/>
      <c r="F251" s="961"/>
      <c r="G251" s="961"/>
      <c r="H251" s="961"/>
      <c r="I251" s="961"/>
      <c r="J251" s="944">
        <v>1147.787</v>
      </c>
      <c r="K251" s="961"/>
      <c r="L251" s="961">
        <v>1147.787</v>
      </c>
      <c r="M251" s="961"/>
      <c r="N251" s="961"/>
      <c r="O251" s="961">
        <v>0</v>
      </c>
      <c r="P251" s="962"/>
      <c r="Q251" s="962"/>
      <c r="R251" s="961"/>
      <c r="S251" s="961"/>
      <c r="T251" s="961"/>
      <c r="U251" s="961"/>
      <c r="V251" s="963"/>
      <c r="W251" s="963"/>
      <c r="X251" s="963"/>
    </row>
    <row r="252" spans="1:24" s="837" customFormat="1" ht="75">
      <c r="A252" s="959" t="s">
        <v>2469</v>
      </c>
      <c r="B252" s="964" t="s">
        <v>2480</v>
      </c>
      <c r="C252" s="961"/>
      <c r="D252" s="961"/>
      <c r="E252" s="961"/>
      <c r="F252" s="961"/>
      <c r="G252" s="961"/>
      <c r="H252" s="961"/>
      <c r="I252" s="961"/>
      <c r="J252" s="944">
        <v>102.22993</v>
      </c>
      <c r="K252" s="961"/>
      <c r="L252" s="961">
        <v>102.22993</v>
      </c>
      <c r="M252" s="961"/>
      <c r="N252" s="961"/>
      <c r="O252" s="961">
        <v>0</v>
      </c>
      <c r="P252" s="962"/>
      <c r="Q252" s="962"/>
      <c r="R252" s="961"/>
      <c r="S252" s="961"/>
      <c r="T252" s="961"/>
      <c r="U252" s="961"/>
      <c r="V252" s="963"/>
      <c r="W252" s="963"/>
      <c r="X252" s="963"/>
    </row>
    <row r="253" spans="1:24" s="837" customFormat="1">
      <c r="A253" s="959" t="s">
        <v>1976</v>
      </c>
      <c r="B253" s="964" t="s">
        <v>461</v>
      </c>
      <c r="C253" s="961"/>
      <c r="D253" s="961"/>
      <c r="E253" s="961"/>
      <c r="F253" s="961"/>
      <c r="G253" s="961"/>
      <c r="H253" s="961"/>
      <c r="I253" s="961"/>
      <c r="J253" s="944">
        <v>10395.714</v>
      </c>
      <c r="K253" s="961"/>
      <c r="L253" s="961">
        <v>10395.714</v>
      </c>
      <c r="M253" s="961"/>
      <c r="N253" s="961"/>
      <c r="O253" s="961">
        <v>0</v>
      </c>
      <c r="P253" s="962"/>
      <c r="Q253" s="962"/>
      <c r="R253" s="961"/>
      <c r="S253" s="961"/>
      <c r="T253" s="961"/>
      <c r="U253" s="961"/>
      <c r="V253" s="963"/>
      <c r="W253" s="963"/>
      <c r="X253" s="963"/>
    </row>
    <row r="254" spans="1:24" s="837" customFormat="1" ht="37.5">
      <c r="A254" s="959" t="s">
        <v>2469</v>
      </c>
      <c r="B254" s="964" t="s">
        <v>2021</v>
      </c>
      <c r="C254" s="961"/>
      <c r="D254" s="961"/>
      <c r="E254" s="961"/>
      <c r="F254" s="961"/>
      <c r="G254" s="961"/>
      <c r="H254" s="961"/>
      <c r="I254" s="961"/>
      <c r="J254" s="944">
        <v>10395.714</v>
      </c>
      <c r="K254" s="961"/>
      <c r="L254" s="961">
        <v>10395.714</v>
      </c>
      <c r="M254" s="961"/>
      <c r="N254" s="961"/>
      <c r="O254" s="961">
        <v>0</v>
      </c>
      <c r="P254" s="962"/>
      <c r="Q254" s="962"/>
      <c r="R254" s="961"/>
      <c r="S254" s="961"/>
      <c r="T254" s="961"/>
      <c r="U254" s="961"/>
      <c r="V254" s="963"/>
      <c r="W254" s="963"/>
      <c r="X254" s="963"/>
    </row>
    <row r="255" spans="1:24" s="837" customFormat="1">
      <c r="A255" s="959" t="s">
        <v>1977</v>
      </c>
      <c r="B255" s="964" t="s">
        <v>512</v>
      </c>
      <c r="C255" s="961"/>
      <c r="D255" s="961"/>
      <c r="E255" s="961"/>
      <c r="F255" s="961"/>
      <c r="G255" s="961"/>
      <c r="H255" s="961"/>
      <c r="I255" s="961"/>
      <c r="J255" s="944">
        <v>12126.526696000001</v>
      </c>
      <c r="K255" s="961"/>
      <c r="L255" s="961">
        <v>12126.526696000001</v>
      </c>
      <c r="M255" s="961"/>
      <c r="N255" s="961"/>
      <c r="O255" s="961">
        <v>0</v>
      </c>
      <c r="P255" s="962"/>
      <c r="Q255" s="962"/>
      <c r="R255" s="961"/>
      <c r="S255" s="961"/>
      <c r="T255" s="961"/>
      <c r="U255" s="961"/>
      <c r="V255" s="963"/>
      <c r="W255" s="963"/>
      <c r="X255" s="963"/>
    </row>
    <row r="256" spans="1:24" s="837" customFormat="1" ht="37.5">
      <c r="A256" s="959" t="s">
        <v>2469</v>
      </c>
      <c r="B256" s="964" t="s">
        <v>2023</v>
      </c>
      <c r="C256" s="961"/>
      <c r="D256" s="961"/>
      <c r="E256" s="961"/>
      <c r="F256" s="961"/>
      <c r="G256" s="961"/>
      <c r="H256" s="961"/>
      <c r="I256" s="961"/>
      <c r="J256" s="944">
        <v>3232.7461090000002</v>
      </c>
      <c r="K256" s="961"/>
      <c r="L256" s="961">
        <v>3232.7461090000002</v>
      </c>
      <c r="M256" s="961"/>
      <c r="N256" s="961"/>
      <c r="O256" s="961">
        <v>0</v>
      </c>
      <c r="P256" s="962"/>
      <c r="Q256" s="962"/>
      <c r="R256" s="961"/>
      <c r="S256" s="961"/>
      <c r="T256" s="961"/>
      <c r="U256" s="961"/>
      <c r="V256" s="963"/>
      <c r="W256" s="963"/>
      <c r="X256" s="963"/>
    </row>
    <row r="257" spans="1:24" s="837" customFormat="1">
      <c r="A257" s="959" t="s">
        <v>2469</v>
      </c>
      <c r="B257" s="964" t="s">
        <v>2022</v>
      </c>
      <c r="C257" s="961"/>
      <c r="D257" s="961"/>
      <c r="E257" s="961"/>
      <c r="F257" s="961"/>
      <c r="G257" s="961"/>
      <c r="H257" s="961"/>
      <c r="I257" s="961"/>
      <c r="J257" s="944">
        <v>8893.7805869999993</v>
      </c>
      <c r="K257" s="961"/>
      <c r="L257" s="961">
        <v>8893.7805869999993</v>
      </c>
      <c r="M257" s="961"/>
      <c r="N257" s="961"/>
      <c r="O257" s="961">
        <v>0</v>
      </c>
      <c r="P257" s="962"/>
      <c r="Q257" s="962"/>
      <c r="R257" s="961"/>
      <c r="S257" s="961"/>
      <c r="T257" s="961"/>
      <c r="U257" s="961"/>
      <c r="V257" s="963"/>
      <c r="W257" s="963"/>
      <c r="X257" s="963"/>
    </row>
    <row r="258" spans="1:24" s="837" customFormat="1">
      <c r="A258" s="959" t="s">
        <v>1978</v>
      </c>
      <c r="B258" s="964" t="s">
        <v>1515</v>
      </c>
      <c r="C258" s="961"/>
      <c r="D258" s="961"/>
      <c r="E258" s="961"/>
      <c r="F258" s="961"/>
      <c r="G258" s="961"/>
      <c r="H258" s="961"/>
      <c r="I258" s="961"/>
      <c r="J258" s="944">
        <v>13490.834999999999</v>
      </c>
      <c r="K258" s="961"/>
      <c r="L258" s="961">
        <v>13490.834999999999</v>
      </c>
      <c r="M258" s="961"/>
      <c r="N258" s="961"/>
      <c r="O258" s="961">
        <v>0</v>
      </c>
      <c r="P258" s="962"/>
      <c r="Q258" s="962"/>
      <c r="R258" s="961"/>
      <c r="S258" s="961"/>
      <c r="T258" s="961"/>
      <c r="U258" s="961"/>
      <c r="V258" s="963"/>
      <c r="W258" s="963"/>
      <c r="X258" s="963"/>
    </row>
    <row r="259" spans="1:24" s="837" customFormat="1">
      <c r="A259" s="959" t="s">
        <v>2469</v>
      </c>
      <c r="B259" s="964" t="s">
        <v>2024</v>
      </c>
      <c r="C259" s="961"/>
      <c r="D259" s="961"/>
      <c r="E259" s="961"/>
      <c r="F259" s="961"/>
      <c r="G259" s="961"/>
      <c r="H259" s="961"/>
      <c r="I259" s="961"/>
      <c r="J259" s="944">
        <v>7654.4</v>
      </c>
      <c r="K259" s="961"/>
      <c r="L259" s="961">
        <v>7654.4</v>
      </c>
      <c r="M259" s="961"/>
      <c r="N259" s="961"/>
      <c r="O259" s="961">
        <v>0</v>
      </c>
      <c r="P259" s="962"/>
      <c r="Q259" s="962"/>
      <c r="R259" s="961"/>
      <c r="S259" s="961"/>
      <c r="T259" s="961"/>
      <c r="U259" s="961"/>
      <c r="V259" s="963"/>
      <c r="W259" s="963"/>
      <c r="X259" s="963"/>
    </row>
    <row r="260" spans="1:24" s="837" customFormat="1" ht="37.5">
      <c r="A260" s="959" t="s">
        <v>2469</v>
      </c>
      <c r="B260" s="964" t="s">
        <v>2025</v>
      </c>
      <c r="C260" s="961"/>
      <c r="D260" s="961"/>
      <c r="E260" s="961"/>
      <c r="F260" s="961"/>
      <c r="G260" s="961"/>
      <c r="H260" s="961"/>
      <c r="I260" s="961"/>
      <c r="J260" s="944">
        <v>5836.4350000000004</v>
      </c>
      <c r="K260" s="961"/>
      <c r="L260" s="961">
        <v>5836.4350000000004</v>
      </c>
      <c r="M260" s="961"/>
      <c r="N260" s="961"/>
      <c r="O260" s="961">
        <v>0</v>
      </c>
      <c r="P260" s="962"/>
      <c r="Q260" s="962"/>
      <c r="R260" s="961"/>
      <c r="S260" s="961"/>
      <c r="T260" s="961"/>
      <c r="U260" s="961"/>
      <c r="V260" s="963"/>
      <c r="W260" s="963"/>
      <c r="X260" s="963"/>
    </row>
    <row r="261" spans="1:24" s="837" customFormat="1">
      <c r="A261" s="959" t="s">
        <v>1979</v>
      </c>
      <c r="B261" s="964" t="s">
        <v>477</v>
      </c>
      <c r="C261" s="961"/>
      <c r="D261" s="961"/>
      <c r="E261" s="961"/>
      <c r="F261" s="961"/>
      <c r="G261" s="961"/>
      <c r="H261" s="961"/>
      <c r="I261" s="961"/>
      <c r="J261" s="944">
        <v>19077.654456</v>
      </c>
      <c r="K261" s="961"/>
      <c r="L261" s="961">
        <v>19077.654456</v>
      </c>
      <c r="M261" s="961"/>
      <c r="N261" s="961"/>
      <c r="O261" s="961">
        <v>0</v>
      </c>
      <c r="P261" s="962"/>
      <c r="Q261" s="962"/>
      <c r="R261" s="961"/>
      <c r="S261" s="961"/>
      <c r="T261" s="961"/>
      <c r="U261" s="961"/>
      <c r="V261" s="963"/>
      <c r="W261" s="963"/>
      <c r="X261" s="963"/>
    </row>
    <row r="262" spans="1:24" s="837" customFormat="1" ht="56.25">
      <c r="A262" s="959" t="s">
        <v>2469</v>
      </c>
      <c r="B262" s="964" t="s">
        <v>2027</v>
      </c>
      <c r="C262" s="961"/>
      <c r="D262" s="961"/>
      <c r="E262" s="961"/>
      <c r="F262" s="961"/>
      <c r="G262" s="961"/>
      <c r="H262" s="961"/>
      <c r="I262" s="961"/>
      <c r="J262" s="944">
        <v>6006.64</v>
      </c>
      <c r="K262" s="961"/>
      <c r="L262" s="961">
        <v>6006.64</v>
      </c>
      <c r="M262" s="961"/>
      <c r="N262" s="961"/>
      <c r="O262" s="961">
        <v>0</v>
      </c>
      <c r="P262" s="962"/>
      <c r="Q262" s="962"/>
      <c r="R262" s="961"/>
      <c r="S262" s="961"/>
      <c r="T262" s="961"/>
      <c r="U262" s="961"/>
      <c r="V262" s="963"/>
      <c r="W262" s="963"/>
      <c r="X262" s="963"/>
    </row>
    <row r="263" spans="1:24" s="837" customFormat="1" ht="37.5">
      <c r="A263" s="959" t="s">
        <v>2469</v>
      </c>
      <c r="B263" s="964" t="s">
        <v>2028</v>
      </c>
      <c r="C263" s="961"/>
      <c r="D263" s="961"/>
      <c r="E263" s="961"/>
      <c r="F263" s="961"/>
      <c r="G263" s="961"/>
      <c r="H263" s="961"/>
      <c r="I263" s="961"/>
      <c r="J263" s="944">
        <v>189.49842200000001</v>
      </c>
      <c r="K263" s="961"/>
      <c r="L263" s="961">
        <v>189.49842200000001</v>
      </c>
      <c r="M263" s="961"/>
      <c r="N263" s="961"/>
      <c r="O263" s="961">
        <v>0</v>
      </c>
      <c r="P263" s="962"/>
      <c r="Q263" s="962"/>
      <c r="R263" s="961"/>
      <c r="S263" s="961"/>
      <c r="T263" s="961"/>
      <c r="U263" s="961"/>
      <c r="V263" s="963"/>
      <c r="W263" s="963"/>
      <c r="X263" s="963"/>
    </row>
    <row r="264" spans="1:24" s="837" customFormat="1" ht="37.5">
      <c r="A264" s="959" t="s">
        <v>2469</v>
      </c>
      <c r="B264" s="964" t="s">
        <v>2026</v>
      </c>
      <c r="C264" s="961"/>
      <c r="D264" s="961"/>
      <c r="E264" s="961"/>
      <c r="F264" s="961"/>
      <c r="G264" s="961"/>
      <c r="H264" s="961"/>
      <c r="I264" s="961"/>
      <c r="J264" s="944">
        <v>10948.004034</v>
      </c>
      <c r="K264" s="961"/>
      <c r="L264" s="961">
        <v>10948.004034</v>
      </c>
      <c r="M264" s="961"/>
      <c r="N264" s="961"/>
      <c r="O264" s="961">
        <v>0</v>
      </c>
      <c r="P264" s="962"/>
      <c r="Q264" s="962"/>
      <c r="R264" s="961"/>
      <c r="S264" s="961"/>
      <c r="T264" s="961"/>
      <c r="U264" s="961"/>
      <c r="V264" s="963"/>
      <c r="W264" s="963"/>
      <c r="X264" s="963"/>
    </row>
    <row r="265" spans="1:24" s="837" customFormat="1" ht="37.5">
      <c r="A265" s="959" t="s">
        <v>2469</v>
      </c>
      <c r="B265" s="964" t="s">
        <v>2029</v>
      </c>
      <c r="C265" s="961"/>
      <c r="D265" s="961"/>
      <c r="E265" s="961"/>
      <c r="F265" s="961"/>
      <c r="G265" s="961"/>
      <c r="H265" s="961"/>
      <c r="I265" s="961"/>
      <c r="J265" s="944">
        <v>1933.5119999999999</v>
      </c>
      <c r="K265" s="961"/>
      <c r="L265" s="961">
        <v>1933.5119999999999</v>
      </c>
      <c r="M265" s="961"/>
      <c r="N265" s="961"/>
      <c r="O265" s="961">
        <v>0</v>
      </c>
      <c r="P265" s="962"/>
      <c r="Q265" s="962"/>
      <c r="R265" s="961"/>
      <c r="S265" s="961"/>
      <c r="T265" s="961"/>
      <c r="U265" s="961"/>
      <c r="V265" s="963"/>
      <c r="W265" s="963"/>
      <c r="X265" s="963"/>
    </row>
    <row r="266" spans="1:24" s="837" customFormat="1">
      <c r="A266" s="959" t="s">
        <v>1980</v>
      </c>
      <c r="B266" s="964" t="s">
        <v>509</v>
      </c>
      <c r="C266" s="961"/>
      <c r="D266" s="961"/>
      <c r="E266" s="961"/>
      <c r="F266" s="961"/>
      <c r="G266" s="961"/>
      <c r="H266" s="961"/>
      <c r="I266" s="961"/>
      <c r="J266" s="944">
        <v>10062.453951</v>
      </c>
      <c r="K266" s="961"/>
      <c r="L266" s="961">
        <v>10062.453951</v>
      </c>
      <c r="M266" s="961"/>
      <c r="N266" s="961"/>
      <c r="O266" s="961">
        <v>0</v>
      </c>
      <c r="P266" s="962"/>
      <c r="Q266" s="962"/>
      <c r="R266" s="961"/>
      <c r="S266" s="961"/>
      <c r="T266" s="961"/>
      <c r="U266" s="961"/>
      <c r="V266" s="963"/>
      <c r="W266" s="963"/>
      <c r="X266" s="963"/>
    </row>
    <row r="267" spans="1:24" s="837" customFormat="1">
      <c r="A267" s="959" t="s">
        <v>2469</v>
      </c>
      <c r="B267" s="964" t="s">
        <v>2030</v>
      </c>
      <c r="C267" s="961"/>
      <c r="D267" s="961"/>
      <c r="E267" s="961"/>
      <c r="F267" s="961"/>
      <c r="G267" s="961"/>
      <c r="H267" s="961"/>
      <c r="I267" s="961"/>
      <c r="J267" s="944">
        <v>10062.453951</v>
      </c>
      <c r="K267" s="961"/>
      <c r="L267" s="961">
        <v>10062.453951</v>
      </c>
      <c r="M267" s="961"/>
      <c r="N267" s="961"/>
      <c r="O267" s="961">
        <v>0</v>
      </c>
      <c r="P267" s="962"/>
      <c r="Q267" s="962"/>
      <c r="R267" s="961"/>
      <c r="S267" s="961"/>
      <c r="T267" s="961"/>
      <c r="U267" s="961"/>
      <c r="V267" s="963"/>
      <c r="W267" s="963"/>
      <c r="X267" s="963"/>
    </row>
    <row r="268" spans="1:24" s="837" customFormat="1">
      <c r="A268" s="959" t="s">
        <v>1981</v>
      </c>
      <c r="B268" s="964" t="s">
        <v>545</v>
      </c>
      <c r="C268" s="961"/>
      <c r="D268" s="961"/>
      <c r="E268" s="961"/>
      <c r="F268" s="961"/>
      <c r="G268" s="961"/>
      <c r="H268" s="961"/>
      <c r="I268" s="961"/>
      <c r="J268" s="944">
        <v>6348.5318699999998</v>
      </c>
      <c r="K268" s="961"/>
      <c r="L268" s="961">
        <v>6348.5318699999998</v>
      </c>
      <c r="M268" s="961"/>
      <c r="N268" s="961"/>
      <c r="O268" s="961">
        <v>0</v>
      </c>
      <c r="P268" s="962"/>
      <c r="Q268" s="962"/>
      <c r="R268" s="961"/>
      <c r="S268" s="961"/>
      <c r="T268" s="961"/>
      <c r="U268" s="961"/>
      <c r="V268" s="963"/>
      <c r="W268" s="963"/>
      <c r="X268" s="963"/>
    </row>
    <row r="269" spans="1:24" s="837" customFormat="1">
      <c r="A269" s="959" t="s">
        <v>2469</v>
      </c>
      <c r="B269" s="964" t="s">
        <v>2031</v>
      </c>
      <c r="C269" s="961"/>
      <c r="D269" s="961"/>
      <c r="E269" s="961"/>
      <c r="F269" s="961"/>
      <c r="G269" s="961"/>
      <c r="H269" s="961"/>
      <c r="I269" s="961"/>
      <c r="J269" s="944">
        <v>6348.5318699999998</v>
      </c>
      <c r="K269" s="961"/>
      <c r="L269" s="961">
        <v>6348.5318699999998</v>
      </c>
      <c r="M269" s="961"/>
      <c r="N269" s="961"/>
      <c r="O269" s="961">
        <v>0</v>
      </c>
      <c r="P269" s="962"/>
      <c r="Q269" s="962"/>
      <c r="R269" s="961"/>
      <c r="S269" s="961"/>
      <c r="T269" s="961"/>
      <c r="U269" s="961"/>
      <c r="V269" s="963"/>
      <c r="W269" s="963"/>
      <c r="X269" s="963"/>
    </row>
    <row r="270" spans="1:24" s="837" customFormat="1">
      <c r="A270" s="959" t="s">
        <v>1982</v>
      </c>
      <c r="B270" s="964" t="s">
        <v>2247</v>
      </c>
      <c r="C270" s="961"/>
      <c r="D270" s="961"/>
      <c r="E270" s="961"/>
      <c r="F270" s="961"/>
      <c r="G270" s="961"/>
      <c r="H270" s="961"/>
      <c r="I270" s="961"/>
      <c r="J270" s="944">
        <v>109696.0877</v>
      </c>
      <c r="K270" s="961"/>
      <c r="L270" s="961">
        <v>109696.0877</v>
      </c>
      <c r="M270" s="961"/>
      <c r="N270" s="961"/>
      <c r="O270" s="961">
        <v>0</v>
      </c>
      <c r="P270" s="962"/>
      <c r="Q270" s="962"/>
      <c r="R270" s="961"/>
      <c r="S270" s="961"/>
      <c r="T270" s="961"/>
      <c r="U270" s="961"/>
      <c r="V270" s="963"/>
      <c r="W270" s="963"/>
      <c r="X270" s="963"/>
    </row>
    <row r="271" spans="1:24" s="837" customFormat="1" ht="37.5">
      <c r="A271" s="959" t="s">
        <v>2469</v>
      </c>
      <c r="B271" s="964" t="s">
        <v>2034</v>
      </c>
      <c r="C271" s="961"/>
      <c r="D271" s="961"/>
      <c r="E271" s="961"/>
      <c r="F271" s="961"/>
      <c r="G271" s="961"/>
      <c r="H271" s="961"/>
      <c r="I271" s="961"/>
      <c r="J271" s="944">
        <v>2681.36</v>
      </c>
      <c r="K271" s="961"/>
      <c r="L271" s="961">
        <v>2681.36</v>
      </c>
      <c r="M271" s="961"/>
      <c r="N271" s="961"/>
      <c r="O271" s="961">
        <v>0</v>
      </c>
      <c r="P271" s="962"/>
      <c r="Q271" s="962"/>
      <c r="R271" s="961"/>
      <c r="S271" s="961"/>
      <c r="T271" s="961"/>
      <c r="U271" s="961"/>
      <c r="V271" s="963"/>
      <c r="W271" s="963"/>
      <c r="X271" s="963"/>
    </row>
    <row r="272" spans="1:24" s="837" customFormat="1" ht="37.5">
      <c r="A272" s="959" t="s">
        <v>2469</v>
      </c>
      <c r="B272" s="964" t="s">
        <v>2032</v>
      </c>
      <c r="C272" s="961"/>
      <c r="D272" s="961"/>
      <c r="E272" s="961"/>
      <c r="F272" s="961"/>
      <c r="G272" s="961"/>
      <c r="H272" s="961"/>
      <c r="I272" s="961"/>
      <c r="J272" s="944">
        <v>8613.3358000000007</v>
      </c>
      <c r="K272" s="961"/>
      <c r="L272" s="961">
        <v>8613.3358000000007</v>
      </c>
      <c r="M272" s="961"/>
      <c r="N272" s="961"/>
      <c r="O272" s="961">
        <v>0</v>
      </c>
      <c r="P272" s="962"/>
      <c r="Q272" s="962"/>
      <c r="R272" s="961"/>
      <c r="S272" s="961"/>
      <c r="T272" s="961"/>
      <c r="U272" s="961"/>
      <c r="V272" s="963"/>
      <c r="W272" s="963"/>
      <c r="X272" s="963"/>
    </row>
    <row r="273" spans="1:24" s="837" customFormat="1" ht="37.5">
      <c r="A273" s="959" t="s">
        <v>2469</v>
      </c>
      <c r="B273" s="964" t="s">
        <v>2035</v>
      </c>
      <c r="C273" s="961"/>
      <c r="D273" s="961"/>
      <c r="E273" s="961"/>
      <c r="F273" s="961"/>
      <c r="G273" s="961"/>
      <c r="H273" s="961"/>
      <c r="I273" s="961"/>
      <c r="J273" s="944">
        <v>1312.8069</v>
      </c>
      <c r="K273" s="961"/>
      <c r="L273" s="961">
        <v>1312.8069</v>
      </c>
      <c r="M273" s="961"/>
      <c r="N273" s="961"/>
      <c r="O273" s="961">
        <v>0</v>
      </c>
      <c r="P273" s="962"/>
      <c r="Q273" s="962"/>
      <c r="R273" s="961"/>
      <c r="S273" s="961"/>
      <c r="T273" s="961"/>
      <c r="U273" s="961"/>
      <c r="V273" s="963"/>
      <c r="W273" s="963"/>
      <c r="X273" s="963"/>
    </row>
    <row r="274" spans="1:24" s="837" customFormat="1" ht="37.5">
      <c r="A274" s="959" t="s">
        <v>2469</v>
      </c>
      <c r="B274" s="964" t="s">
        <v>2036</v>
      </c>
      <c r="C274" s="961"/>
      <c r="D274" s="961"/>
      <c r="E274" s="961"/>
      <c r="F274" s="961"/>
      <c r="G274" s="961"/>
      <c r="H274" s="961"/>
      <c r="I274" s="961"/>
      <c r="J274" s="944">
        <v>95511.585000000006</v>
      </c>
      <c r="K274" s="961"/>
      <c r="L274" s="961">
        <v>95511.585000000006</v>
      </c>
      <c r="M274" s="961"/>
      <c r="N274" s="961"/>
      <c r="O274" s="961">
        <v>0</v>
      </c>
      <c r="P274" s="962"/>
      <c r="Q274" s="962"/>
      <c r="R274" s="961"/>
      <c r="S274" s="961"/>
      <c r="T274" s="961"/>
      <c r="U274" s="961"/>
      <c r="V274" s="963"/>
      <c r="W274" s="963"/>
      <c r="X274" s="963"/>
    </row>
    <row r="275" spans="1:24" s="837" customFormat="1" ht="37.5">
      <c r="A275" s="959" t="s">
        <v>2469</v>
      </c>
      <c r="B275" s="964" t="s">
        <v>2037</v>
      </c>
      <c r="C275" s="961"/>
      <c r="D275" s="961"/>
      <c r="E275" s="961"/>
      <c r="F275" s="961"/>
      <c r="G275" s="961"/>
      <c r="H275" s="961"/>
      <c r="I275" s="961"/>
      <c r="J275" s="944">
        <v>1577</v>
      </c>
      <c r="K275" s="961"/>
      <c r="L275" s="961">
        <v>1577</v>
      </c>
      <c r="M275" s="961"/>
      <c r="N275" s="961"/>
      <c r="O275" s="961">
        <v>0</v>
      </c>
      <c r="P275" s="962"/>
      <c r="Q275" s="962"/>
      <c r="R275" s="961"/>
      <c r="S275" s="961"/>
      <c r="T275" s="961"/>
      <c r="U275" s="961"/>
      <c r="V275" s="963"/>
      <c r="W275" s="963"/>
      <c r="X275" s="963"/>
    </row>
    <row r="276" spans="1:24" s="837" customFormat="1">
      <c r="A276" s="959" t="s">
        <v>1983</v>
      </c>
      <c r="B276" s="964" t="s">
        <v>373</v>
      </c>
      <c r="C276" s="961"/>
      <c r="D276" s="961"/>
      <c r="E276" s="961"/>
      <c r="F276" s="961"/>
      <c r="G276" s="961"/>
      <c r="H276" s="961"/>
      <c r="I276" s="961"/>
      <c r="J276" s="944">
        <v>381388.61766400002</v>
      </c>
      <c r="K276" s="961"/>
      <c r="L276" s="961">
        <v>381388.61766400002</v>
      </c>
      <c r="M276" s="961"/>
      <c r="N276" s="961"/>
      <c r="O276" s="961">
        <v>0</v>
      </c>
      <c r="P276" s="962"/>
      <c r="Q276" s="962"/>
      <c r="R276" s="961"/>
      <c r="S276" s="961"/>
      <c r="T276" s="961"/>
      <c r="U276" s="961"/>
      <c r="V276" s="963"/>
      <c r="W276" s="963"/>
      <c r="X276" s="963"/>
    </row>
    <row r="277" spans="1:24" s="837" customFormat="1">
      <c r="A277" s="959" t="s">
        <v>2469</v>
      </c>
      <c r="B277" s="964" t="s">
        <v>2039</v>
      </c>
      <c r="C277" s="961"/>
      <c r="D277" s="961"/>
      <c r="E277" s="961"/>
      <c r="F277" s="961"/>
      <c r="G277" s="961"/>
      <c r="H277" s="961"/>
      <c r="I277" s="961"/>
      <c r="J277" s="944">
        <v>7687.9825950000004</v>
      </c>
      <c r="K277" s="961"/>
      <c r="L277" s="961">
        <v>7687.9825950000004</v>
      </c>
      <c r="M277" s="961"/>
      <c r="N277" s="961"/>
      <c r="O277" s="961">
        <v>0</v>
      </c>
      <c r="P277" s="962"/>
      <c r="Q277" s="962"/>
      <c r="R277" s="961"/>
      <c r="S277" s="961"/>
      <c r="T277" s="961"/>
      <c r="U277" s="961"/>
      <c r="V277" s="963"/>
      <c r="W277" s="963"/>
      <c r="X277" s="963"/>
    </row>
    <row r="278" spans="1:24" s="837" customFormat="1">
      <c r="A278" s="959" t="s">
        <v>2469</v>
      </c>
      <c r="B278" s="964" t="s">
        <v>2040</v>
      </c>
      <c r="C278" s="961"/>
      <c r="D278" s="961"/>
      <c r="E278" s="961"/>
      <c r="F278" s="961"/>
      <c r="G278" s="961"/>
      <c r="H278" s="961"/>
      <c r="I278" s="961"/>
      <c r="J278" s="944">
        <v>12636.981</v>
      </c>
      <c r="K278" s="961"/>
      <c r="L278" s="961">
        <v>12636.981</v>
      </c>
      <c r="M278" s="961"/>
      <c r="N278" s="961"/>
      <c r="O278" s="961">
        <v>0</v>
      </c>
      <c r="P278" s="962"/>
      <c r="Q278" s="962"/>
      <c r="R278" s="961"/>
      <c r="S278" s="961"/>
      <c r="T278" s="961"/>
      <c r="U278" s="961"/>
      <c r="V278" s="963"/>
      <c r="W278" s="963"/>
      <c r="X278" s="963"/>
    </row>
    <row r="279" spans="1:24" s="837" customFormat="1">
      <c r="A279" s="959" t="s">
        <v>2469</v>
      </c>
      <c r="B279" s="964" t="s">
        <v>2041</v>
      </c>
      <c r="C279" s="961"/>
      <c r="D279" s="961"/>
      <c r="E279" s="961"/>
      <c r="F279" s="961"/>
      <c r="G279" s="961"/>
      <c r="H279" s="961"/>
      <c r="I279" s="961"/>
      <c r="J279" s="944">
        <v>5190.2870000000003</v>
      </c>
      <c r="K279" s="961"/>
      <c r="L279" s="961">
        <v>5190.2870000000003</v>
      </c>
      <c r="M279" s="961"/>
      <c r="N279" s="961"/>
      <c r="O279" s="961">
        <v>0</v>
      </c>
      <c r="P279" s="962"/>
      <c r="Q279" s="962"/>
      <c r="R279" s="961"/>
      <c r="S279" s="961"/>
      <c r="T279" s="961"/>
      <c r="U279" s="961"/>
      <c r="V279" s="963"/>
      <c r="W279" s="963"/>
      <c r="X279" s="963"/>
    </row>
    <row r="280" spans="1:24" s="837" customFormat="1" ht="37.5">
      <c r="A280" s="959" t="s">
        <v>2469</v>
      </c>
      <c r="B280" s="964" t="s">
        <v>2042</v>
      </c>
      <c r="C280" s="961"/>
      <c r="D280" s="961"/>
      <c r="E280" s="961"/>
      <c r="F280" s="961"/>
      <c r="G280" s="961"/>
      <c r="H280" s="961"/>
      <c r="I280" s="961"/>
      <c r="J280" s="944">
        <v>16394.98</v>
      </c>
      <c r="K280" s="961"/>
      <c r="L280" s="961">
        <v>16394.98</v>
      </c>
      <c r="M280" s="961"/>
      <c r="N280" s="961"/>
      <c r="O280" s="961">
        <v>0</v>
      </c>
      <c r="P280" s="962"/>
      <c r="Q280" s="962"/>
      <c r="R280" s="961"/>
      <c r="S280" s="961"/>
      <c r="T280" s="961"/>
      <c r="U280" s="961"/>
      <c r="V280" s="963"/>
      <c r="W280" s="963"/>
      <c r="X280" s="963"/>
    </row>
    <row r="281" spans="1:24" s="837" customFormat="1">
      <c r="A281" s="959" t="s">
        <v>2469</v>
      </c>
      <c r="B281" s="964" t="s">
        <v>2043</v>
      </c>
      <c r="C281" s="961"/>
      <c r="D281" s="961"/>
      <c r="E281" s="961"/>
      <c r="F281" s="961"/>
      <c r="G281" s="961"/>
      <c r="H281" s="961"/>
      <c r="I281" s="961"/>
      <c r="J281" s="944">
        <v>13912.566000000001</v>
      </c>
      <c r="K281" s="961"/>
      <c r="L281" s="961">
        <v>13912.566000000001</v>
      </c>
      <c r="M281" s="961"/>
      <c r="N281" s="961"/>
      <c r="O281" s="961">
        <v>0</v>
      </c>
      <c r="P281" s="962"/>
      <c r="Q281" s="962"/>
      <c r="R281" s="961"/>
      <c r="S281" s="961"/>
      <c r="T281" s="961"/>
      <c r="U281" s="961"/>
      <c r="V281" s="963"/>
      <c r="W281" s="963"/>
      <c r="X281" s="963"/>
    </row>
    <row r="282" spans="1:24" s="837" customFormat="1" ht="37.5">
      <c r="A282" s="959" t="s">
        <v>2469</v>
      </c>
      <c r="B282" s="964" t="s">
        <v>2248</v>
      </c>
      <c r="C282" s="961"/>
      <c r="D282" s="961"/>
      <c r="E282" s="961"/>
      <c r="F282" s="961"/>
      <c r="G282" s="961"/>
      <c r="H282" s="961"/>
      <c r="I282" s="961"/>
      <c r="J282" s="944">
        <v>13644.089196000001</v>
      </c>
      <c r="K282" s="961"/>
      <c r="L282" s="961">
        <v>13644.089196000001</v>
      </c>
      <c r="M282" s="961"/>
      <c r="N282" s="961"/>
      <c r="O282" s="961">
        <v>0</v>
      </c>
      <c r="P282" s="962"/>
      <c r="Q282" s="962"/>
      <c r="R282" s="961"/>
      <c r="S282" s="961"/>
      <c r="T282" s="961"/>
      <c r="U282" s="961"/>
      <c r="V282" s="963"/>
      <c r="W282" s="963"/>
      <c r="X282" s="963"/>
    </row>
    <row r="283" spans="1:24" s="837" customFormat="1">
      <c r="A283" s="959" t="s">
        <v>2469</v>
      </c>
      <c r="B283" s="964" t="s">
        <v>2044</v>
      </c>
      <c r="C283" s="961"/>
      <c r="D283" s="961"/>
      <c r="E283" s="961"/>
      <c r="F283" s="961"/>
      <c r="G283" s="961"/>
      <c r="H283" s="961"/>
      <c r="I283" s="961"/>
      <c r="J283" s="944">
        <v>11505.347497000001</v>
      </c>
      <c r="K283" s="961"/>
      <c r="L283" s="961">
        <v>11505.347497000001</v>
      </c>
      <c r="M283" s="961"/>
      <c r="N283" s="961"/>
      <c r="O283" s="961">
        <v>0</v>
      </c>
      <c r="P283" s="962"/>
      <c r="Q283" s="962"/>
      <c r="R283" s="961"/>
      <c r="S283" s="961"/>
      <c r="T283" s="961"/>
      <c r="U283" s="961"/>
      <c r="V283" s="963"/>
      <c r="W283" s="963"/>
      <c r="X283" s="963"/>
    </row>
    <row r="284" spans="1:24" s="837" customFormat="1">
      <c r="A284" s="959" t="s">
        <v>2469</v>
      </c>
      <c r="B284" s="964" t="s">
        <v>2045</v>
      </c>
      <c r="C284" s="961"/>
      <c r="D284" s="961"/>
      <c r="E284" s="961"/>
      <c r="F284" s="961"/>
      <c r="G284" s="961"/>
      <c r="H284" s="961"/>
      <c r="I284" s="961"/>
      <c r="J284" s="944">
        <v>11042.653435</v>
      </c>
      <c r="K284" s="961"/>
      <c r="L284" s="961">
        <v>11042.653435</v>
      </c>
      <c r="M284" s="961"/>
      <c r="N284" s="961"/>
      <c r="O284" s="961">
        <v>0</v>
      </c>
      <c r="P284" s="962"/>
      <c r="Q284" s="962"/>
      <c r="R284" s="961"/>
      <c r="S284" s="961"/>
      <c r="T284" s="961"/>
      <c r="U284" s="961"/>
      <c r="V284" s="963"/>
      <c r="W284" s="963"/>
      <c r="X284" s="963"/>
    </row>
    <row r="285" spans="1:24" s="837" customFormat="1">
      <c r="A285" s="959" t="s">
        <v>2469</v>
      </c>
      <c r="B285" s="964" t="s">
        <v>2046</v>
      </c>
      <c r="C285" s="961"/>
      <c r="D285" s="961"/>
      <c r="E285" s="961"/>
      <c r="F285" s="961"/>
      <c r="G285" s="961"/>
      <c r="H285" s="961"/>
      <c r="I285" s="961"/>
      <c r="J285" s="944">
        <v>8664.7670940000007</v>
      </c>
      <c r="K285" s="961"/>
      <c r="L285" s="961">
        <v>8664.7670940000007</v>
      </c>
      <c r="M285" s="961"/>
      <c r="N285" s="961"/>
      <c r="O285" s="961">
        <v>0</v>
      </c>
      <c r="P285" s="962"/>
      <c r="Q285" s="962"/>
      <c r="R285" s="961"/>
      <c r="S285" s="961"/>
      <c r="T285" s="961"/>
      <c r="U285" s="961"/>
      <c r="V285" s="963"/>
      <c r="W285" s="963"/>
      <c r="X285" s="963"/>
    </row>
    <row r="286" spans="1:24" s="837" customFormat="1" ht="37.5">
      <c r="A286" s="959" t="s">
        <v>2469</v>
      </c>
      <c r="B286" s="964" t="s">
        <v>2047</v>
      </c>
      <c r="C286" s="961"/>
      <c r="D286" s="961"/>
      <c r="E286" s="961"/>
      <c r="F286" s="961"/>
      <c r="G286" s="961"/>
      <c r="H286" s="961"/>
      <c r="I286" s="961"/>
      <c r="J286" s="944">
        <v>12070.091</v>
      </c>
      <c r="K286" s="961"/>
      <c r="L286" s="961">
        <v>12070.091</v>
      </c>
      <c r="M286" s="961"/>
      <c r="N286" s="961"/>
      <c r="O286" s="961">
        <v>0</v>
      </c>
      <c r="P286" s="962"/>
      <c r="Q286" s="962"/>
      <c r="R286" s="961"/>
      <c r="S286" s="961"/>
      <c r="T286" s="961"/>
      <c r="U286" s="961"/>
      <c r="V286" s="963"/>
      <c r="W286" s="963"/>
      <c r="X286" s="963"/>
    </row>
    <row r="287" spans="1:24" s="837" customFormat="1" ht="37.5">
      <c r="A287" s="959" t="s">
        <v>2469</v>
      </c>
      <c r="B287" s="964" t="s">
        <v>2048</v>
      </c>
      <c r="C287" s="961"/>
      <c r="D287" s="961"/>
      <c r="E287" s="961"/>
      <c r="F287" s="961"/>
      <c r="G287" s="961"/>
      <c r="H287" s="961"/>
      <c r="I287" s="961"/>
      <c r="J287" s="944">
        <v>24210.962500000001</v>
      </c>
      <c r="K287" s="961"/>
      <c r="L287" s="961">
        <v>24210.962500000001</v>
      </c>
      <c r="M287" s="961"/>
      <c r="N287" s="961"/>
      <c r="O287" s="961">
        <v>0</v>
      </c>
      <c r="P287" s="962"/>
      <c r="Q287" s="962"/>
      <c r="R287" s="961"/>
      <c r="S287" s="961"/>
      <c r="T287" s="961"/>
      <c r="U287" s="961"/>
      <c r="V287" s="963"/>
      <c r="W287" s="963"/>
      <c r="X287" s="963"/>
    </row>
    <row r="288" spans="1:24" s="837" customFormat="1" ht="37.5">
      <c r="A288" s="959" t="s">
        <v>2469</v>
      </c>
      <c r="B288" s="964" t="s">
        <v>2249</v>
      </c>
      <c r="C288" s="961"/>
      <c r="D288" s="961"/>
      <c r="E288" s="961"/>
      <c r="F288" s="961"/>
      <c r="G288" s="961"/>
      <c r="H288" s="961"/>
      <c r="I288" s="961"/>
      <c r="J288" s="944">
        <v>9023.0366950000007</v>
      </c>
      <c r="K288" s="961"/>
      <c r="L288" s="961">
        <v>9023.0366950000007</v>
      </c>
      <c r="M288" s="961"/>
      <c r="N288" s="961"/>
      <c r="O288" s="961">
        <v>0</v>
      </c>
      <c r="P288" s="962"/>
      <c r="Q288" s="962"/>
      <c r="R288" s="961"/>
      <c r="S288" s="961"/>
      <c r="T288" s="961"/>
      <c r="U288" s="961"/>
      <c r="V288" s="963"/>
      <c r="W288" s="963"/>
      <c r="X288" s="963"/>
    </row>
    <row r="289" spans="1:24" s="837" customFormat="1">
      <c r="A289" s="959" t="s">
        <v>2469</v>
      </c>
      <c r="B289" s="964" t="s">
        <v>2049</v>
      </c>
      <c r="C289" s="961"/>
      <c r="D289" s="961"/>
      <c r="E289" s="961"/>
      <c r="F289" s="961"/>
      <c r="G289" s="961"/>
      <c r="H289" s="961"/>
      <c r="I289" s="961"/>
      <c r="J289" s="944">
        <v>12149.840145</v>
      </c>
      <c r="K289" s="961"/>
      <c r="L289" s="961">
        <v>12149.840145</v>
      </c>
      <c r="M289" s="961"/>
      <c r="N289" s="961"/>
      <c r="O289" s="961">
        <v>0</v>
      </c>
      <c r="P289" s="962"/>
      <c r="Q289" s="962"/>
      <c r="R289" s="961"/>
      <c r="S289" s="961"/>
      <c r="T289" s="961"/>
      <c r="U289" s="961"/>
      <c r="V289" s="963"/>
      <c r="W289" s="963"/>
      <c r="X289" s="963"/>
    </row>
    <row r="290" spans="1:24" s="837" customFormat="1" ht="37.5">
      <c r="A290" s="959" t="s">
        <v>2469</v>
      </c>
      <c r="B290" s="964" t="s">
        <v>2050</v>
      </c>
      <c r="C290" s="961"/>
      <c r="D290" s="961"/>
      <c r="E290" s="961"/>
      <c r="F290" s="961"/>
      <c r="G290" s="961"/>
      <c r="H290" s="961"/>
      <c r="I290" s="961"/>
      <c r="J290" s="944">
        <v>8493.4733770000003</v>
      </c>
      <c r="K290" s="961"/>
      <c r="L290" s="961">
        <v>8493.4733770000003</v>
      </c>
      <c r="M290" s="961"/>
      <c r="N290" s="961"/>
      <c r="O290" s="961">
        <v>0</v>
      </c>
      <c r="P290" s="962"/>
      <c r="Q290" s="962"/>
      <c r="R290" s="961"/>
      <c r="S290" s="961"/>
      <c r="T290" s="961"/>
      <c r="U290" s="961"/>
      <c r="V290" s="963"/>
      <c r="W290" s="963"/>
      <c r="X290" s="963"/>
    </row>
    <row r="291" spans="1:24" s="837" customFormat="1">
      <c r="A291" s="959" t="s">
        <v>2469</v>
      </c>
      <c r="B291" s="964" t="s">
        <v>2051</v>
      </c>
      <c r="C291" s="961"/>
      <c r="D291" s="961"/>
      <c r="E291" s="961"/>
      <c r="F291" s="961"/>
      <c r="G291" s="961"/>
      <c r="H291" s="961"/>
      <c r="I291" s="961"/>
      <c r="J291" s="944">
        <v>9068.7790000000005</v>
      </c>
      <c r="K291" s="961"/>
      <c r="L291" s="961">
        <v>9068.7790000000005</v>
      </c>
      <c r="M291" s="961"/>
      <c r="N291" s="961"/>
      <c r="O291" s="961">
        <v>0</v>
      </c>
      <c r="P291" s="962"/>
      <c r="Q291" s="962"/>
      <c r="R291" s="961"/>
      <c r="S291" s="961"/>
      <c r="T291" s="961"/>
      <c r="U291" s="961"/>
      <c r="V291" s="963"/>
      <c r="W291" s="963"/>
      <c r="X291" s="963"/>
    </row>
    <row r="292" spans="1:24" s="837" customFormat="1" ht="37.5">
      <c r="A292" s="959" t="s">
        <v>2469</v>
      </c>
      <c r="B292" s="964" t="s">
        <v>2038</v>
      </c>
      <c r="C292" s="961"/>
      <c r="D292" s="961"/>
      <c r="E292" s="961"/>
      <c r="F292" s="961"/>
      <c r="G292" s="961"/>
      <c r="H292" s="961"/>
      <c r="I292" s="961"/>
      <c r="J292" s="944">
        <v>43021.400937999999</v>
      </c>
      <c r="K292" s="961"/>
      <c r="L292" s="961">
        <v>43021.400937999999</v>
      </c>
      <c r="M292" s="961"/>
      <c r="N292" s="961"/>
      <c r="O292" s="961">
        <v>0</v>
      </c>
      <c r="P292" s="962"/>
      <c r="Q292" s="962"/>
      <c r="R292" s="961"/>
      <c r="S292" s="961"/>
      <c r="T292" s="961"/>
      <c r="U292" s="961"/>
      <c r="V292" s="963"/>
      <c r="W292" s="963"/>
      <c r="X292" s="963"/>
    </row>
    <row r="293" spans="1:24" s="837" customFormat="1">
      <c r="A293" s="959" t="s">
        <v>2469</v>
      </c>
      <c r="B293" s="964" t="s">
        <v>2052</v>
      </c>
      <c r="C293" s="961"/>
      <c r="D293" s="961"/>
      <c r="E293" s="961"/>
      <c r="F293" s="961"/>
      <c r="G293" s="961"/>
      <c r="H293" s="961"/>
      <c r="I293" s="961"/>
      <c r="J293" s="944">
        <v>12007.9877</v>
      </c>
      <c r="K293" s="961"/>
      <c r="L293" s="961">
        <v>12007.9877</v>
      </c>
      <c r="M293" s="961"/>
      <c r="N293" s="961"/>
      <c r="O293" s="961">
        <v>0</v>
      </c>
      <c r="P293" s="962"/>
      <c r="Q293" s="962"/>
      <c r="R293" s="961"/>
      <c r="S293" s="961"/>
      <c r="T293" s="961"/>
      <c r="U293" s="961"/>
      <c r="V293" s="963"/>
      <c r="W293" s="963"/>
      <c r="X293" s="963"/>
    </row>
    <row r="294" spans="1:24" s="837" customFormat="1">
      <c r="A294" s="959" t="s">
        <v>2469</v>
      </c>
      <c r="B294" s="964" t="s">
        <v>2053</v>
      </c>
      <c r="C294" s="961"/>
      <c r="D294" s="961"/>
      <c r="E294" s="961"/>
      <c r="F294" s="961"/>
      <c r="G294" s="961"/>
      <c r="H294" s="961"/>
      <c r="I294" s="961"/>
      <c r="J294" s="944">
        <v>9836.6338909999995</v>
      </c>
      <c r="K294" s="961"/>
      <c r="L294" s="961">
        <v>9836.6338909999995</v>
      </c>
      <c r="M294" s="961"/>
      <c r="N294" s="961"/>
      <c r="O294" s="961">
        <v>0</v>
      </c>
      <c r="P294" s="962"/>
      <c r="Q294" s="962"/>
      <c r="R294" s="961"/>
      <c r="S294" s="961"/>
      <c r="T294" s="961"/>
      <c r="U294" s="961"/>
      <c r="V294" s="963"/>
      <c r="W294" s="963"/>
      <c r="X294" s="963"/>
    </row>
    <row r="295" spans="1:24" s="837" customFormat="1" ht="37.5">
      <c r="A295" s="959" t="s">
        <v>2469</v>
      </c>
      <c r="B295" s="964" t="s">
        <v>2054</v>
      </c>
      <c r="C295" s="961"/>
      <c r="D295" s="961"/>
      <c r="E295" s="961"/>
      <c r="F295" s="961"/>
      <c r="G295" s="961"/>
      <c r="H295" s="961"/>
      <c r="I295" s="961"/>
      <c r="J295" s="944">
        <v>8100.3386970000001</v>
      </c>
      <c r="K295" s="961"/>
      <c r="L295" s="961">
        <v>8100.3386970000001</v>
      </c>
      <c r="M295" s="961"/>
      <c r="N295" s="961"/>
      <c r="O295" s="961">
        <v>0</v>
      </c>
      <c r="P295" s="962"/>
      <c r="Q295" s="962"/>
      <c r="R295" s="961"/>
      <c r="S295" s="961"/>
      <c r="T295" s="961"/>
      <c r="U295" s="961"/>
      <c r="V295" s="963"/>
      <c r="W295" s="963"/>
      <c r="X295" s="963"/>
    </row>
    <row r="296" spans="1:24" s="837" customFormat="1">
      <c r="A296" s="959" t="s">
        <v>2469</v>
      </c>
      <c r="B296" s="964" t="s">
        <v>2055</v>
      </c>
      <c r="C296" s="961"/>
      <c r="D296" s="961"/>
      <c r="E296" s="961"/>
      <c r="F296" s="961"/>
      <c r="G296" s="961"/>
      <c r="H296" s="961"/>
      <c r="I296" s="961"/>
      <c r="J296" s="944">
        <v>7861.0177620000004</v>
      </c>
      <c r="K296" s="961"/>
      <c r="L296" s="961">
        <v>7861.0177620000004</v>
      </c>
      <c r="M296" s="961"/>
      <c r="N296" s="961"/>
      <c r="O296" s="961">
        <v>0</v>
      </c>
      <c r="P296" s="962"/>
      <c r="Q296" s="962"/>
      <c r="R296" s="961"/>
      <c r="S296" s="961"/>
      <c r="T296" s="961"/>
      <c r="U296" s="961"/>
      <c r="V296" s="963"/>
      <c r="W296" s="963"/>
      <c r="X296" s="963"/>
    </row>
    <row r="297" spans="1:24" s="837" customFormat="1" ht="37.5">
      <c r="A297" s="959" t="s">
        <v>2469</v>
      </c>
      <c r="B297" s="964" t="s">
        <v>2056</v>
      </c>
      <c r="C297" s="961"/>
      <c r="D297" s="961"/>
      <c r="E297" s="961"/>
      <c r="F297" s="961"/>
      <c r="G297" s="961"/>
      <c r="H297" s="961"/>
      <c r="I297" s="961"/>
      <c r="J297" s="944">
        <v>2900.412084</v>
      </c>
      <c r="K297" s="961"/>
      <c r="L297" s="961">
        <v>2900.412084</v>
      </c>
      <c r="M297" s="961"/>
      <c r="N297" s="961"/>
      <c r="O297" s="961">
        <v>0</v>
      </c>
      <c r="P297" s="962"/>
      <c r="Q297" s="962"/>
      <c r="R297" s="961"/>
      <c r="S297" s="961"/>
      <c r="T297" s="961"/>
      <c r="U297" s="961"/>
      <c r="V297" s="963"/>
      <c r="W297" s="963"/>
      <c r="X297" s="963"/>
    </row>
    <row r="298" spans="1:24" s="837" customFormat="1" ht="37.5">
      <c r="A298" s="959" t="s">
        <v>2469</v>
      </c>
      <c r="B298" s="964" t="s">
        <v>2057</v>
      </c>
      <c r="C298" s="961"/>
      <c r="D298" s="961"/>
      <c r="E298" s="961"/>
      <c r="F298" s="961"/>
      <c r="G298" s="961"/>
      <c r="H298" s="961"/>
      <c r="I298" s="961"/>
      <c r="J298" s="944">
        <v>14056.391</v>
      </c>
      <c r="K298" s="961"/>
      <c r="L298" s="961">
        <v>14056.391</v>
      </c>
      <c r="M298" s="961"/>
      <c r="N298" s="961"/>
      <c r="O298" s="961">
        <v>0</v>
      </c>
      <c r="P298" s="962"/>
      <c r="Q298" s="962"/>
      <c r="R298" s="961"/>
      <c r="S298" s="961"/>
      <c r="T298" s="961"/>
      <c r="U298" s="961"/>
      <c r="V298" s="963"/>
      <c r="W298" s="963"/>
      <c r="X298" s="963"/>
    </row>
    <row r="299" spans="1:24" s="837" customFormat="1" ht="37.5">
      <c r="A299" s="959" t="s">
        <v>2469</v>
      </c>
      <c r="B299" s="964" t="s">
        <v>2058</v>
      </c>
      <c r="C299" s="961"/>
      <c r="D299" s="961"/>
      <c r="E299" s="961"/>
      <c r="F299" s="961"/>
      <c r="G299" s="961"/>
      <c r="H299" s="961"/>
      <c r="I299" s="961"/>
      <c r="J299" s="944">
        <v>10909.871723</v>
      </c>
      <c r="K299" s="961"/>
      <c r="L299" s="961">
        <v>10909.871723</v>
      </c>
      <c r="M299" s="961"/>
      <c r="N299" s="961"/>
      <c r="O299" s="961">
        <v>0</v>
      </c>
      <c r="P299" s="962"/>
      <c r="Q299" s="962"/>
      <c r="R299" s="961"/>
      <c r="S299" s="961"/>
      <c r="T299" s="961"/>
      <c r="U299" s="961"/>
      <c r="V299" s="963"/>
      <c r="W299" s="963"/>
      <c r="X299" s="963"/>
    </row>
    <row r="300" spans="1:24" s="837" customFormat="1" ht="37.5">
      <c r="A300" s="959" t="s">
        <v>2469</v>
      </c>
      <c r="B300" s="964" t="s">
        <v>2059</v>
      </c>
      <c r="C300" s="961"/>
      <c r="D300" s="961"/>
      <c r="E300" s="961"/>
      <c r="F300" s="961"/>
      <c r="G300" s="961"/>
      <c r="H300" s="961"/>
      <c r="I300" s="961"/>
      <c r="J300" s="944">
        <v>10512.012500000001</v>
      </c>
      <c r="K300" s="961"/>
      <c r="L300" s="961">
        <v>10512.012500000001</v>
      </c>
      <c r="M300" s="961"/>
      <c r="N300" s="961"/>
      <c r="O300" s="961">
        <v>0</v>
      </c>
      <c r="P300" s="962"/>
      <c r="Q300" s="962"/>
      <c r="R300" s="961"/>
      <c r="S300" s="961"/>
      <c r="T300" s="961"/>
      <c r="U300" s="961"/>
      <c r="V300" s="963"/>
      <c r="W300" s="963"/>
      <c r="X300" s="963"/>
    </row>
    <row r="301" spans="1:24" s="837" customFormat="1">
      <c r="A301" s="959" t="s">
        <v>2469</v>
      </c>
      <c r="B301" s="964" t="s">
        <v>2060</v>
      </c>
      <c r="C301" s="961"/>
      <c r="D301" s="961"/>
      <c r="E301" s="961"/>
      <c r="F301" s="961"/>
      <c r="G301" s="961"/>
      <c r="H301" s="961"/>
      <c r="I301" s="961"/>
      <c r="J301" s="944">
        <v>11515.540999999999</v>
      </c>
      <c r="K301" s="961"/>
      <c r="L301" s="961">
        <v>11515.540999999999</v>
      </c>
      <c r="M301" s="961"/>
      <c r="N301" s="961"/>
      <c r="O301" s="961">
        <v>0</v>
      </c>
      <c r="P301" s="962"/>
      <c r="Q301" s="962"/>
      <c r="R301" s="961"/>
      <c r="S301" s="961"/>
      <c r="T301" s="961"/>
      <c r="U301" s="961"/>
      <c r="V301" s="963"/>
      <c r="W301" s="963"/>
      <c r="X301" s="963"/>
    </row>
    <row r="302" spans="1:24" s="837" customFormat="1" ht="37.5">
      <c r="A302" s="959" t="s">
        <v>2469</v>
      </c>
      <c r="B302" s="964" t="s">
        <v>2061</v>
      </c>
      <c r="C302" s="961"/>
      <c r="D302" s="961"/>
      <c r="E302" s="961"/>
      <c r="F302" s="961"/>
      <c r="G302" s="961"/>
      <c r="H302" s="961"/>
      <c r="I302" s="961"/>
      <c r="J302" s="944">
        <v>11193.392893</v>
      </c>
      <c r="K302" s="961"/>
      <c r="L302" s="961">
        <v>11193.392893</v>
      </c>
      <c r="M302" s="961"/>
      <c r="N302" s="961"/>
      <c r="O302" s="961">
        <v>0</v>
      </c>
      <c r="P302" s="962"/>
      <c r="Q302" s="962"/>
      <c r="R302" s="961"/>
      <c r="S302" s="961"/>
      <c r="T302" s="961"/>
      <c r="U302" s="961"/>
      <c r="V302" s="963"/>
      <c r="W302" s="963"/>
      <c r="X302" s="963"/>
    </row>
    <row r="303" spans="1:24" s="837" customFormat="1">
      <c r="A303" s="959" t="s">
        <v>2469</v>
      </c>
      <c r="B303" s="964" t="s">
        <v>2062</v>
      </c>
      <c r="C303" s="961"/>
      <c r="D303" s="961"/>
      <c r="E303" s="961"/>
      <c r="F303" s="961"/>
      <c r="G303" s="961"/>
      <c r="H303" s="961"/>
      <c r="I303" s="961"/>
      <c r="J303" s="944">
        <v>9640.0545000000002</v>
      </c>
      <c r="K303" s="961"/>
      <c r="L303" s="961">
        <v>9640.0545000000002</v>
      </c>
      <c r="M303" s="961"/>
      <c r="N303" s="961"/>
      <c r="O303" s="961">
        <v>0</v>
      </c>
      <c r="P303" s="962"/>
      <c r="Q303" s="962"/>
      <c r="R303" s="961"/>
      <c r="S303" s="961"/>
      <c r="T303" s="961"/>
      <c r="U303" s="961"/>
      <c r="V303" s="963"/>
      <c r="W303" s="963"/>
      <c r="X303" s="963"/>
    </row>
    <row r="304" spans="1:24" s="837" customFormat="1">
      <c r="A304" s="959" t="s">
        <v>2469</v>
      </c>
      <c r="B304" s="964" t="s">
        <v>2063</v>
      </c>
      <c r="C304" s="961"/>
      <c r="D304" s="961"/>
      <c r="E304" s="961"/>
      <c r="F304" s="961"/>
      <c r="G304" s="961"/>
      <c r="H304" s="961"/>
      <c r="I304" s="961"/>
      <c r="J304" s="944">
        <v>10339.474</v>
      </c>
      <c r="K304" s="961"/>
      <c r="L304" s="961">
        <v>10339.474</v>
      </c>
      <c r="M304" s="961"/>
      <c r="N304" s="961"/>
      <c r="O304" s="961">
        <v>0</v>
      </c>
      <c r="P304" s="962"/>
      <c r="Q304" s="962"/>
      <c r="R304" s="961"/>
      <c r="S304" s="961"/>
      <c r="T304" s="961"/>
      <c r="U304" s="961"/>
      <c r="V304" s="963"/>
      <c r="W304" s="963"/>
      <c r="X304" s="963"/>
    </row>
    <row r="305" spans="1:24" s="837" customFormat="1" ht="37.5">
      <c r="A305" s="959" t="s">
        <v>2469</v>
      </c>
      <c r="B305" s="964" t="s">
        <v>2064</v>
      </c>
      <c r="C305" s="961"/>
      <c r="D305" s="961"/>
      <c r="E305" s="961"/>
      <c r="F305" s="961"/>
      <c r="G305" s="961"/>
      <c r="H305" s="961"/>
      <c r="I305" s="961"/>
      <c r="J305" s="944">
        <v>5132.8258560000004</v>
      </c>
      <c r="K305" s="961"/>
      <c r="L305" s="961">
        <v>5132.8258560000004</v>
      </c>
      <c r="M305" s="961"/>
      <c r="N305" s="961"/>
      <c r="O305" s="961">
        <v>0</v>
      </c>
      <c r="P305" s="962"/>
      <c r="Q305" s="962"/>
      <c r="R305" s="961"/>
      <c r="S305" s="961"/>
      <c r="T305" s="961"/>
      <c r="U305" s="961"/>
      <c r="V305" s="963"/>
      <c r="W305" s="963"/>
      <c r="X305" s="963"/>
    </row>
    <row r="306" spans="1:24" s="837" customFormat="1" ht="37.5">
      <c r="A306" s="959" t="s">
        <v>2469</v>
      </c>
      <c r="B306" s="964" t="s">
        <v>2065</v>
      </c>
      <c r="C306" s="961"/>
      <c r="D306" s="961"/>
      <c r="E306" s="961"/>
      <c r="F306" s="961"/>
      <c r="G306" s="961"/>
      <c r="H306" s="961"/>
      <c r="I306" s="961"/>
      <c r="J306" s="944">
        <v>19694.576742000001</v>
      </c>
      <c r="K306" s="961"/>
      <c r="L306" s="961">
        <v>19694.576742000001</v>
      </c>
      <c r="M306" s="961"/>
      <c r="N306" s="961"/>
      <c r="O306" s="961">
        <v>0</v>
      </c>
      <c r="P306" s="962"/>
      <c r="Q306" s="962"/>
      <c r="R306" s="961"/>
      <c r="S306" s="961"/>
      <c r="T306" s="961"/>
      <c r="U306" s="961"/>
      <c r="V306" s="963"/>
      <c r="W306" s="963"/>
      <c r="X306" s="963"/>
    </row>
    <row r="307" spans="1:24" s="837" customFormat="1" ht="37.5">
      <c r="A307" s="959" t="s">
        <v>2469</v>
      </c>
      <c r="B307" s="964" t="s">
        <v>2066</v>
      </c>
      <c r="C307" s="961"/>
      <c r="D307" s="961"/>
      <c r="E307" s="961"/>
      <c r="F307" s="961"/>
      <c r="G307" s="961"/>
      <c r="H307" s="961"/>
      <c r="I307" s="961"/>
      <c r="J307" s="944">
        <v>11972.354499999999</v>
      </c>
      <c r="K307" s="961"/>
      <c r="L307" s="961">
        <v>11972.354499999999</v>
      </c>
      <c r="M307" s="961"/>
      <c r="N307" s="961"/>
      <c r="O307" s="961">
        <v>0</v>
      </c>
      <c r="P307" s="962"/>
      <c r="Q307" s="962"/>
      <c r="R307" s="961"/>
      <c r="S307" s="961"/>
      <c r="T307" s="961"/>
      <c r="U307" s="961"/>
      <c r="V307" s="963"/>
      <c r="W307" s="963"/>
      <c r="X307" s="963"/>
    </row>
    <row r="308" spans="1:24" s="837" customFormat="1" ht="37.5">
      <c r="A308" s="959" t="s">
        <v>2469</v>
      </c>
      <c r="B308" s="964" t="s">
        <v>2067</v>
      </c>
      <c r="C308" s="961"/>
      <c r="D308" s="961"/>
      <c r="E308" s="961"/>
      <c r="F308" s="961"/>
      <c r="G308" s="961"/>
      <c r="H308" s="961"/>
      <c r="I308" s="961"/>
      <c r="J308" s="944">
        <v>6998.4953439999999</v>
      </c>
      <c r="K308" s="961"/>
      <c r="L308" s="961">
        <v>6998.4953439999999</v>
      </c>
      <c r="M308" s="961"/>
      <c r="N308" s="961"/>
      <c r="O308" s="961">
        <v>0</v>
      </c>
      <c r="P308" s="962"/>
      <c r="Q308" s="962"/>
      <c r="R308" s="961"/>
      <c r="S308" s="961"/>
      <c r="T308" s="961"/>
      <c r="U308" s="961"/>
      <c r="V308" s="963"/>
      <c r="W308" s="963"/>
      <c r="X308" s="963"/>
    </row>
    <row r="309" spans="1:24" s="837" customFormat="1">
      <c r="A309" s="959" t="s">
        <v>1984</v>
      </c>
      <c r="B309" s="964" t="s">
        <v>525</v>
      </c>
      <c r="C309" s="961"/>
      <c r="D309" s="961"/>
      <c r="E309" s="961"/>
      <c r="F309" s="961"/>
      <c r="G309" s="961"/>
      <c r="H309" s="961"/>
      <c r="I309" s="961"/>
      <c r="J309" s="944">
        <v>392828.05247900001</v>
      </c>
      <c r="K309" s="961"/>
      <c r="L309" s="961">
        <v>392828.05247900001</v>
      </c>
      <c r="M309" s="961"/>
      <c r="N309" s="961"/>
      <c r="O309" s="961">
        <v>0</v>
      </c>
      <c r="P309" s="962"/>
      <c r="Q309" s="962"/>
      <c r="R309" s="961"/>
      <c r="S309" s="961"/>
      <c r="T309" s="961"/>
      <c r="U309" s="961"/>
      <c r="V309" s="963"/>
      <c r="W309" s="963"/>
      <c r="X309" s="963"/>
    </row>
    <row r="310" spans="1:24" s="837" customFormat="1" ht="37.5">
      <c r="A310" s="959" t="s">
        <v>2469</v>
      </c>
      <c r="B310" s="964" t="s">
        <v>2069</v>
      </c>
      <c r="C310" s="961"/>
      <c r="D310" s="961"/>
      <c r="E310" s="961"/>
      <c r="F310" s="961"/>
      <c r="G310" s="961"/>
      <c r="H310" s="961"/>
      <c r="I310" s="961"/>
      <c r="J310" s="944">
        <v>171.62200000000001</v>
      </c>
      <c r="K310" s="961"/>
      <c r="L310" s="961">
        <v>171.62200000000001</v>
      </c>
      <c r="M310" s="961"/>
      <c r="N310" s="961"/>
      <c r="O310" s="961">
        <v>0</v>
      </c>
      <c r="P310" s="962"/>
      <c r="Q310" s="962"/>
      <c r="R310" s="961"/>
      <c r="S310" s="961"/>
      <c r="T310" s="961"/>
      <c r="U310" s="961"/>
      <c r="V310" s="963"/>
      <c r="W310" s="963"/>
      <c r="X310" s="963"/>
    </row>
    <row r="311" spans="1:24" s="837" customFormat="1">
      <c r="A311" s="959" t="s">
        <v>2469</v>
      </c>
      <c r="B311" s="964" t="s">
        <v>2070</v>
      </c>
      <c r="C311" s="961"/>
      <c r="D311" s="961"/>
      <c r="E311" s="961"/>
      <c r="F311" s="961"/>
      <c r="G311" s="961"/>
      <c r="H311" s="961"/>
      <c r="I311" s="961"/>
      <c r="J311" s="944">
        <v>1545.873957</v>
      </c>
      <c r="K311" s="961"/>
      <c r="L311" s="961">
        <v>1545.873957</v>
      </c>
      <c r="M311" s="961"/>
      <c r="N311" s="961"/>
      <c r="O311" s="961">
        <v>0</v>
      </c>
      <c r="P311" s="962"/>
      <c r="Q311" s="962"/>
      <c r="R311" s="961"/>
      <c r="S311" s="961"/>
      <c r="T311" s="961"/>
      <c r="U311" s="961"/>
      <c r="V311" s="963"/>
      <c r="W311" s="963"/>
      <c r="X311" s="963"/>
    </row>
    <row r="312" spans="1:24" s="837" customFormat="1" ht="15" customHeight="1">
      <c r="A312" s="959" t="s">
        <v>2469</v>
      </c>
      <c r="B312" s="964" t="s">
        <v>2071</v>
      </c>
      <c r="C312" s="961"/>
      <c r="D312" s="961"/>
      <c r="E312" s="961"/>
      <c r="F312" s="961"/>
      <c r="G312" s="961"/>
      <c r="H312" s="961"/>
      <c r="I312" s="961"/>
      <c r="J312" s="944">
        <v>42165.155266000002</v>
      </c>
      <c r="K312" s="961"/>
      <c r="L312" s="961">
        <v>42165.155266000002</v>
      </c>
      <c r="M312" s="961"/>
      <c r="N312" s="961"/>
      <c r="O312" s="961">
        <v>0</v>
      </c>
      <c r="P312" s="962"/>
      <c r="Q312" s="962"/>
      <c r="R312" s="961"/>
      <c r="S312" s="961"/>
      <c r="T312" s="961"/>
      <c r="U312" s="961"/>
      <c r="V312" s="963"/>
      <c r="W312" s="963"/>
      <c r="X312" s="963"/>
    </row>
    <row r="313" spans="1:24" s="837" customFormat="1" ht="37.5">
      <c r="A313" s="959" t="s">
        <v>2469</v>
      </c>
      <c r="B313" s="964" t="s">
        <v>2072</v>
      </c>
      <c r="C313" s="961"/>
      <c r="D313" s="961"/>
      <c r="E313" s="961"/>
      <c r="F313" s="961"/>
      <c r="G313" s="961"/>
      <c r="H313" s="961"/>
      <c r="I313" s="961"/>
      <c r="J313" s="944">
        <v>25060.201131999998</v>
      </c>
      <c r="K313" s="961"/>
      <c r="L313" s="961">
        <v>25060.201131999998</v>
      </c>
      <c r="M313" s="961"/>
      <c r="N313" s="961"/>
      <c r="O313" s="961">
        <v>0</v>
      </c>
      <c r="P313" s="962"/>
      <c r="Q313" s="962"/>
      <c r="R313" s="961"/>
      <c r="S313" s="961"/>
      <c r="T313" s="961"/>
      <c r="U313" s="961"/>
      <c r="V313" s="963"/>
      <c r="W313" s="963"/>
      <c r="X313" s="963"/>
    </row>
    <row r="314" spans="1:24" s="837" customFormat="1" ht="37.5">
      <c r="A314" s="959" t="s">
        <v>2469</v>
      </c>
      <c r="B314" s="964" t="s">
        <v>2073</v>
      </c>
      <c r="C314" s="961"/>
      <c r="D314" s="961"/>
      <c r="E314" s="961"/>
      <c r="F314" s="961"/>
      <c r="G314" s="961"/>
      <c r="H314" s="961"/>
      <c r="I314" s="961"/>
      <c r="J314" s="944">
        <v>43110.366258000002</v>
      </c>
      <c r="K314" s="961"/>
      <c r="L314" s="961">
        <v>43110.366258000002</v>
      </c>
      <c r="M314" s="961"/>
      <c r="N314" s="961"/>
      <c r="O314" s="961">
        <v>0</v>
      </c>
      <c r="P314" s="962"/>
      <c r="Q314" s="962"/>
      <c r="R314" s="961"/>
      <c r="S314" s="961"/>
      <c r="T314" s="961"/>
      <c r="U314" s="961"/>
      <c r="V314" s="963"/>
      <c r="W314" s="963"/>
      <c r="X314" s="963"/>
    </row>
    <row r="315" spans="1:24" s="837" customFormat="1" ht="37.5">
      <c r="A315" s="959" t="s">
        <v>2469</v>
      </c>
      <c r="B315" s="964" t="s">
        <v>2074</v>
      </c>
      <c r="C315" s="961"/>
      <c r="D315" s="961"/>
      <c r="E315" s="961"/>
      <c r="F315" s="961"/>
      <c r="G315" s="961"/>
      <c r="H315" s="961"/>
      <c r="I315" s="961"/>
      <c r="J315" s="944">
        <v>37588.853561999997</v>
      </c>
      <c r="K315" s="961"/>
      <c r="L315" s="961">
        <v>37588.853561999997</v>
      </c>
      <c r="M315" s="961"/>
      <c r="N315" s="961"/>
      <c r="O315" s="961">
        <v>0</v>
      </c>
      <c r="P315" s="962"/>
      <c r="Q315" s="962"/>
      <c r="R315" s="961"/>
      <c r="S315" s="961"/>
      <c r="T315" s="961"/>
      <c r="U315" s="961"/>
      <c r="V315" s="963"/>
      <c r="W315" s="963"/>
      <c r="X315" s="963"/>
    </row>
    <row r="316" spans="1:24" s="837" customFormat="1" ht="37.5">
      <c r="A316" s="959" t="s">
        <v>2469</v>
      </c>
      <c r="B316" s="964" t="s">
        <v>2075</v>
      </c>
      <c r="C316" s="961"/>
      <c r="D316" s="961"/>
      <c r="E316" s="961"/>
      <c r="F316" s="961"/>
      <c r="G316" s="961"/>
      <c r="H316" s="961"/>
      <c r="I316" s="961"/>
      <c r="J316" s="944">
        <v>34925.751741</v>
      </c>
      <c r="K316" s="961"/>
      <c r="L316" s="961">
        <v>34925.751741</v>
      </c>
      <c r="M316" s="961"/>
      <c r="N316" s="961"/>
      <c r="O316" s="961">
        <v>0</v>
      </c>
      <c r="P316" s="962"/>
      <c r="Q316" s="962"/>
      <c r="R316" s="961"/>
      <c r="S316" s="961"/>
      <c r="T316" s="961"/>
      <c r="U316" s="961"/>
      <c r="V316" s="963"/>
      <c r="W316" s="963"/>
      <c r="X316" s="963"/>
    </row>
    <row r="317" spans="1:24" s="837" customFormat="1" ht="37.5">
      <c r="A317" s="959" t="s">
        <v>2469</v>
      </c>
      <c r="B317" s="964" t="s">
        <v>2076</v>
      </c>
      <c r="C317" s="961"/>
      <c r="D317" s="961"/>
      <c r="E317" s="961"/>
      <c r="F317" s="961"/>
      <c r="G317" s="961"/>
      <c r="H317" s="961"/>
      <c r="I317" s="961"/>
      <c r="J317" s="944">
        <v>24937.891426999999</v>
      </c>
      <c r="K317" s="961"/>
      <c r="L317" s="961">
        <v>24937.891426999999</v>
      </c>
      <c r="M317" s="961"/>
      <c r="N317" s="961"/>
      <c r="O317" s="961">
        <v>0</v>
      </c>
      <c r="P317" s="962"/>
      <c r="Q317" s="962"/>
      <c r="R317" s="961"/>
      <c r="S317" s="961"/>
      <c r="T317" s="961"/>
      <c r="U317" s="961"/>
      <c r="V317" s="963"/>
      <c r="W317" s="963"/>
      <c r="X317" s="963"/>
    </row>
    <row r="318" spans="1:24" s="837" customFormat="1" ht="37.5">
      <c r="A318" s="959" t="s">
        <v>2469</v>
      </c>
      <c r="B318" s="964" t="s">
        <v>2077</v>
      </c>
      <c r="C318" s="961"/>
      <c r="D318" s="961"/>
      <c r="E318" s="961"/>
      <c r="F318" s="961"/>
      <c r="G318" s="961"/>
      <c r="H318" s="961"/>
      <c r="I318" s="961"/>
      <c r="J318" s="944">
        <v>54843.908006999998</v>
      </c>
      <c r="K318" s="961"/>
      <c r="L318" s="961">
        <v>54843.908006999998</v>
      </c>
      <c r="M318" s="961"/>
      <c r="N318" s="961"/>
      <c r="O318" s="961">
        <v>0</v>
      </c>
      <c r="P318" s="962"/>
      <c r="Q318" s="962"/>
      <c r="R318" s="961"/>
      <c r="S318" s="961"/>
      <c r="T318" s="961"/>
      <c r="U318" s="961"/>
      <c r="V318" s="963"/>
      <c r="W318" s="963"/>
      <c r="X318" s="963"/>
    </row>
    <row r="319" spans="1:24" s="837" customFormat="1">
      <c r="A319" s="959" t="s">
        <v>2469</v>
      </c>
      <c r="B319" s="964" t="s">
        <v>2078</v>
      </c>
      <c r="C319" s="961"/>
      <c r="D319" s="961"/>
      <c r="E319" s="961"/>
      <c r="F319" s="961"/>
      <c r="G319" s="961"/>
      <c r="H319" s="961"/>
      <c r="I319" s="961"/>
      <c r="J319" s="944">
        <v>2959.08</v>
      </c>
      <c r="K319" s="961"/>
      <c r="L319" s="961">
        <v>2959.08</v>
      </c>
      <c r="M319" s="961"/>
      <c r="N319" s="961"/>
      <c r="O319" s="961">
        <v>0</v>
      </c>
      <c r="P319" s="962"/>
      <c r="Q319" s="962"/>
      <c r="R319" s="961"/>
      <c r="S319" s="961"/>
      <c r="T319" s="961"/>
      <c r="U319" s="961"/>
      <c r="V319" s="963"/>
      <c r="W319" s="963"/>
      <c r="X319" s="963"/>
    </row>
    <row r="320" spans="1:24" s="837" customFormat="1">
      <c r="A320" s="959" t="s">
        <v>2469</v>
      </c>
      <c r="B320" s="964" t="s">
        <v>2079</v>
      </c>
      <c r="C320" s="961"/>
      <c r="D320" s="961"/>
      <c r="E320" s="961"/>
      <c r="F320" s="961"/>
      <c r="G320" s="961"/>
      <c r="H320" s="961"/>
      <c r="I320" s="961"/>
      <c r="J320" s="944">
        <v>19351.744999999999</v>
      </c>
      <c r="K320" s="961"/>
      <c r="L320" s="961">
        <v>19351.744999999999</v>
      </c>
      <c r="M320" s="961"/>
      <c r="N320" s="961"/>
      <c r="O320" s="961">
        <v>0</v>
      </c>
      <c r="P320" s="962"/>
      <c r="Q320" s="962"/>
      <c r="R320" s="961"/>
      <c r="S320" s="961"/>
      <c r="T320" s="961"/>
      <c r="U320" s="961"/>
      <c r="V320" s="963"/>
      <c r="W320" s="963"/>
      <c r="X320" s="963"/>
    </row>
    <row r="321" spans="1:24" s="837" customFormat="1" ht="37.5">
      <c r="A321" s="959" t="s">
        <v>2469</v>
      </c>
      <c r="B321" s="964" t="s">
        <v>2080</v>
      </c>
      <c r="C321" s="961"/>
      <c r="D321" s="961"/>
      <c r="E321" s="961"/>
      <c r="F321" s="961"/>
      <c r="G321" s="961"/>
      <c r="H321" s="961"/>
      <c r="I321" s="961"/>
      <c r="J321" s="944">
        <v>5530.96</v>
      </c>
      <c r="K321" s="961"/>
      <c r="L321" s="961">
        <v>5530.96</v>
      </c>
      <c r="M321" s="961"/>
      <c r="N321" s="961"/>
      <c r="O321" s="961">
        <v>0</v>
      </c>
      <c r="P321" s="962"/>
      <c r="Q321" s="962"/>
      <c r="R321" s="961"/>
      <c r="S321" s="961"/>
      <c r="T321" s="961"/>
      <c r="U321" s="961"/>
      <c r="V321" s="963"/>
      <c r="W321" s="963"/>
      <c r="X321" s="963"/>
    </row>
    <row r="322" spans="1:24" s="837" customFormat="1" ht="37.5">
      <c r="A322" s="959" t="s">
        <v>2469</v>
      </c>
      <c r="B322" s="964" t="s">
        <v>2081</v>
      </c>
      <c r="C322" s="961"/>
      <c r="D322" s="961"/>
      <c r="E322" s="961"/>
      <c r="F322" s="961"/>
      <c r="G322" s="961"/>
      <c r="H322" s="961"/>
      <c r="I322" s="961"/>
      <c r="J322" s="944">
        <v>1974.536908</v>
      </c>
      <c r="K322" s="961"/>
      <c r="L322" s="961">
        <v>1974.536908</v>
      </c>
      <c r="M322" s="961"/>
      <c r="N322" s="961"/>
      <c r="O322" s="961">
        <v>0</v>
      </c>
      <c r="P322" s="962"/>
      <c r="Q322" s="962"/>
      <c r="R322" s="961"/>
      <c r="S322" s="961"/>
      <c r="T322" s="961"/>
      <c r="U322" s="961"/>
      <c r="V322" s="963"/>
      <c r="W322" s="963"/>
      <c r="X322" s="963"/>
    </row>
    <row r="323" spans="1:24" s="837" customFormat="1" ht="37.5">
      <c r="A323" s="959" t="s">
        <v>2469</v>
      </c>
      <c r="B323" s="964" t="s">
        <v>2082</v>
      </c>
      <c r="C323" s="961"/>
      <c r="D323" s="961"/>
      <c r="E323" s="961"/>
      <c r="F323" s="961"/>
      <c r="G323" s="961"/>
      <c r="H323" s="961"/>
      <c r="I323" s="961"/>
      <c r="J323" s="944">
        <v>554.78499999999997</v>
      </c>
      <c r="K323" s="961"/>
      <c r="L323" s="961">
        <v>554.78499999999997</v>
      </c>
      <c r="M323" s="961"/>
      <c r="N323" s="961"/>
      <c r="O323" s="961">
        <v>0</v>
      </c>
      <c r="P323" s="962"/>
      <c r="Q323" s="962"/>
      <c r="R323" s="961"/>
      <c r="S323" s="961"/>
      <c r="T323" s="961"/>
      <c r="U323" s="961"/>
      <c r="V323" s="963"/>
      <c r="W323" s="963"/>
      <c r="X323" s="963"/>
    </row>
    <row r="324" spans="1:24" s="837" customFormat="1">
      <c r="A324" s="959" t="s">
        <v>2469</v>
      </c>
      <c r="B324" s="964" t="s">
        <v>2068</v>
      </c>
      <c r="C324" s="961"/>
      <c r="D324" s="961"/>
      <c r="E324" s="961"/>
      <c r="F324" s="961"/>
      <c r="G324" s="961"/>
      <c r="H324" s="961"/>
      <c r="I324" s="961"/>
      <c r="J324" s="944">
        <v>8823.0450000000001</v>
      </c>
      <c r="K324" s="961"/>
      <c r="L324" s="961">
        <v>8823.0450000000001</v>
      </c>
      <c r="M324" s="961"/>
      <c r="N324" s="961"/>
      <c r="O324" s="961">
        <v>0</v>
      </c>
      <c r="P324" s="962"/>
      <c r="Q324" s="962"/>
      <c r="R324" s="961"/>
      <c r="S324" s="961"/>
      <c r="T324" s="961"/>
      <c r="U324" s="961"/>
      <c r="V324" s="963"/>
      <c r="W324" s="963"/>
      <c r="X324" s="963"/>
    </row>
    <row r="325" spans="1:24" s="837" customFormat="1" ht="37.5">
      <c r="A325" s="959" t="s">
        <v>2469</v>
      </c>
      <c r="B325" s="964" t="s">
        <v>2083</v>
      </c>
      <c r="C325" s="961"/>
      <c r="D325" s="961"/>
      <c r="E325" s="961"/>
      <c r="F325" s="961"/>
      <c r="G325" s="961"/>
      <c r="H325" s="961"/>
      <c r="I325" s="961"/>
      <c r="J325" s="944">
        <v>4654.0339999999997</v>
      </c>
      <c r="K325" s="961"/>
      <c r="L325" s="961">
        <v>4654.0339999999997</v>
      </c>
      <c r="M325" s="961"/>
      <c r="N325" s="961"/>
      <c r="O325" s="961">
        <v>0</v>
      </c>
      <c r="P325" s="962"/>
      <c r="Q325" s="962"/>
      <c r="R325" s="961"/>
      <c r="S325" s="961"/>
      <c r="T325" s="961"/>
      <c r="U325" s="961"/>
      <c r="V325" s="963"/>
      <c r="W325" s="963"/>
      <c r="X325" s="963"/>
    </row>
    <row r="326" spans="1:24" s="837" customFormat="1" ht="37.5">
      <c r="A326" s="959" t="s">
        <v>2469</v>
      </c>
      <c r="B326" s="964" t="s">
        <v>2084</v>
      </c>
      <c r="C326" s="961"/>
      <c r="D326" s="961"/>
      <c r="E326" s="961"/>
      <c r="F326" s="961"/>
      <c r="G326" s="961"/>
      <c r="H326" s="961"/>
      <c r="I326" s="961"/>
      <c r="J326" s="944">
        <v>4749.923847</v>
      </c>
      <c r="K326" s="961"/>
      <c r="L326" s="961">
        <v>4749.923847</v>
      </c>
      <c r="M326" s="961"/>
      <c r="N326" s="961"/>
      <c r="O326" s="961">
        <v>0</v>
      </c>
      <c r="P326" s="962"/>
      <c r="Q326" s="962"/>
      <c r="R326" s="961"/>
      <c r="S326" s="961"/>
      <c r="T326" s="961"/>
      <c r="U326" s="961"/>
      <c r="V326" s="963"/>
      <c r="W326" s="963"/>
      <c r="X326" s="963"/>
    </row>
    <row r="327" spans="1:24" s="837" customFormat="1" ht="37.5">
      <c r="A327" s="959" t="s">
        <v>2469</v>
      </c>
      <c r="B327" s="964" t="s">
        <v>2085</v>
      </c>
      <c r="C327" s="961"/>
      <c r="D327" s="961"/>
      <c r="E327" s="961"/>
      <c r="F327" s="961"/>
      <c r="G327" s="961"/>
      <c r="H327" s="961"/>
      <c r="I327" s="961"/>
      <c r="J327" s="944">
        <v>3225.1910360000002</v>
      </c>
      <c r="K327" s="961"/>
      <c r="L327" s="961">
        <v>3225.1910360000002</v>
      </c>
      <c r="M327" s="961"/>
      <c r="N327" s="961"/>
      <c r="O327" s="961">
        <v>0</v>
      </c>
      <c r="P327" s="962"/>
      <c r="Q327" s="962"/>
      <c r="R327" s="961"/>
      <c r="S327" s="961"/>
      <c r="T327" s="961"/>
      <c r="U327" s="961"/>
      <c r="V327" s="963"/>
      <c r="W327" s="963"/>
      <c r="X327" s="963"/>
    </row>
    <row r="328" spans="1:24" s="837" customFormat="1" ht="37.5">
      <c r="A328" s="959" t="s">
        <v>2469</v>
      </c>
      <c r="B328" s="964" t="s">
        <v>2086</v>
      </c>
      <c r="C328" s="961"/>
      <c r="D328" s="961"/>
      <c r="E328" s="961"/>
      <c r="F328" s="961"/>
      <c r="G328" s="961"/>
      <c r="H328" s="961"/>
      <c r="I328" s="961"/>
      <c r="J328" s="944">
        <v>38204.99063</v>
      </c>
      <c r="K328" s="961"/>
      <c r="L328" s="961">
        <v>38204.99063</v>
      </c>
      <c r="M328" s="961"/>
      <c r="N328" s="961"/>
      <c r="O328" s="961">
        <v>0</v>
      </c>
      <c r="P328" s="962"/>
      <c r="Q328" s="962"/>
      <c r="R328" s="961"/>
      <c r="S328" s="961"/>
      <c r="T328" s="961"/>
      <c r="U328" s="961"/>
      <c r="V328" s="963"/>
      <c r="W328" s="963"/>
      <c r="X328" s="963"/>
    </row>
    <row r="329" spans="1:24" s="837" customFormat="1" ht="37.5">
      <c r="A329" s="959" t="s">
        <v>2469</v>
      </c>
      <c r="B329" s="964" t="s">
        <v>2087</v>
      </c>
      <c r="C329" s="961"/>
      <c r="D329" s="961"/>
      <c r="E329" s="961"/>
      <c r="F329" s="961"/>
      <c r="G329" s="961"/>
      <c r="H329" s="961"/>
      <c r="I329" s="961"/>
      <c r="J329" s="944">
        <v>2455.7240999999999</v>
      </c>
      <c r="K329" s="961"/>
      <c r="L329" s="961">
        <v>2455.7240999999999</v>
      </c>
      <c r="M329" s="961"/>
      <c r="N329" s="961"/>
      <c r="O329" s="961">
        <v>0</v>
      </c>
      <c r="P329" s="962"/>
      <c r="Q329" s="962"/>
      <c r="R329" s="961"/>
      <c r="S329" s="961"/>
      <c r="T329" s="961"/>
      <c r="U329" s="961"/>
      <c r="V329" s="963"/>
      <c r="W329" s="963"/>
      <c r="X329" s="963"/>
    </row>
    <row r="330" spans="1:24" s="837" customFormat="1" ht="56.25">
      <c r="A330" s="959" t="s">
        <v>2469</v>
      </c>
      <c r="B330" s="964" t="s">
        <v>2088</v>
      </c>
      <c r="C330" s="961"/>
      <c r="D330" s="961"/>
      <c r="E330" s="961"/>
      <c r="F330" s="961"/>
      <c r="G330" s="961"/>
      <c r="H330" s="961"/>
      <c r="I330" s="961"/>
      <c r="J330" s="944">
        <v>5368.9944139999998</v>
      </c>
      <c r="K330" s="961"/>
      <c r="L330" s="961">
        <v>5368.9944139999998</v>
      </c>
      <c r="M330" s="961"/>
      <c r="N330" s="961"/>
      <c r="O330" s="961">
        <v>0</v>
      </c>
      <c r="P330" s="962"/>
      <c r="Q330" s="962"/>
      <c r="R330" s="961"/>
      <c r="S330" s="961"/>
      <c r="T330" s="961"/>
      <c r="U330" s="961"/>
      <c r="V330" s="963"/>
      <c r="W330" s="963"/>
      <c r="X330" s="963"/>
    </row>
    <row r="331" spans="1:24" s="837" customFormat="1" ht="37.5">
      <c r="A331" s="959" t="s">
        <v>2469</v>
      </c>
      <c r="B331" s="964" t="s">
        <v>2089</v>
      </c>
      <c r="C331" s="961"/>
      <c r="D331" s="961"/>
      <c r="E331" s="961"/>
      <c r="F331" s="961"/>
      <c r="G331" s="961"/>
      <c r="H331" s="961"/>
      <c r="I331" s="961"/>
      <c r="J331" s="944">
        <v>6038.0284359999996</v>
      </c>
      <c r="K331" s="961"/>
      <c r="L331" s="961">
        <v>6038.0284359999996</v>
      </c>
      <c r="M331" s="961"/>
      <c r="N331" s="961"/>
      <c r="O331" s="961">
        <v>0</v>
      </c>
      <c r="P331" s="962"/>
      <c r="Q331" s="962"/>
      <c r="R331" s="961"/>
      <c r="S331" s="961"/>
      <c r="T331" s="961"/>
      <c r="U331" s="961"/>
      <c r="V331" s="963"/>
      <c r="W331" s="963"/>
      <c r="X331" s="963"/>
    </row>
    <row r="332" spans="1:24" s="837" customFormat="1" ht="37.5">
      <c r="A332" s="959" t="s">
        <v>2469</v>
      </c>
      <c r="B332" s="964" t="s">
        <v>2090</v>
      </c>
      <c r="C332" s="961"/>
      <c r="D332" s="961"/>
      <c r="E332" s="961"/>
      <c r="F332" s="961"/>
      <c r="G332" s="961"/>
      <c r="H332" s="961"/>
      <c r="I332" s="961"/>
      <c r="J332" s="944">
        <v>2405.9609999999998</v>
      </c>
      <c r="K332" s="961"/>
      <c r="L332" s="961">
        <v>2405.9609999999998</v>
      </c>
      <c r="M332" s="961"/>
      <c r="N332" s="961"/>
      <c r="O332" s="961">
        <v>0</v>
      </c>
      <c r="P332" s="962"/>
      <c r="Q332" s="962"/>
      <c r="R332" s="961"/>
      <c r="S332" s="961"/>
      <c r="T332" s="961"/>
      <c r="U332" s="961"/>
      <c r="V332" s="963"/>
      <c r="W332" s="963"/>
      <c r="X332" s="963"/>
    </row>
    <row r="333" spans="1:24" s="837" customFormat="1" ht="37.5">
      <c r="A333" s="959" t="s">
        <v>2469</v>
      </c>
      <c r="B333" s="964" t="s">
        <v>2091</v>
      </c>
      <c r="C333" s="961"/>
      <c r="D333" s="961"/>
      <c r="E333" s="961"/>
      <c r="F333" s="961"/>
      <c r="G333" s="961"/>
      <c r="H333" s="961"/>
      <c r="I333" s="961"/>
      <c r="J333" s="944">
        <v>13070.907184</v>
      </c>
      <c r="K333" s="961"/>
      <c r="L333" s="961">
        <v>13070.907184</v>
      </c>
      <c r="M333" s="961"/>
      <c r="N333" s="961"/>
      <c r="O333" s="961">
        <v>0</v>
      </c>
      <c r="P333" s="962"/>
      <c r="Q333" s="962"/>
      <c r="R333" s="961"/>
      <c r="S333" s="961"/>
      <c r="T333" s="961"/>
      <c r="U333" s="961"/>
      <c r="V333" s="963"/>
      <c r="W333" s="963"/>
      <c r="X333" s="963"/>
    </row>
    <row r="334" spans="1:24" s="837" customFormat="1" ht="37.5">
      <c r="A334" s="959" t="s">
        <v>2469</v>
      </c>
      <c r="B334" s="964" t="s">
        <v>2484</v>
      </c>
      <c r="C334" s="961"/>
      <c r="D334" s="961"/>
      <c r="E334" s="961"/>
      <c r="F334" s="961"/>
      <c r="G334" s="961"/>
      <c r="H334" s="961"/>
      <c r="I334" s="961"/>
      <c r="J334" s="944">
        <v>8669.2443860000003</v>
      </c>
      <c r="K334" s="961"/>
      <c r="L334" s="961">
        <v>8669.2443860000003</v>
      </c>
      <c r="M334" s="961"/>
      <c r="N334" s="961"/>
      <c r="O334" s="961">
        <v>0</v>
      </c>
      <c r="P334" s="962"/>
      <c r="Q334" s="962"/>
      <c r="R334" s="961"/>
      <c r="S334" s="961"/>
      <c r="T334" s="961"/>
      <c r="U334" s="961"/>
      <c r="V334" s="963"/>
      <c r="W334" s="963"/>
      <c r="X334" s="963"/>
    </row>
    <row r="335" spans="1:24" s="837" customFormat="1" ht="75">
      <c r="A335" s="959" t="s">
        <v>2469</v>
      </c>
      <c r="B335" s="964" t="s">
        <v>2092</v>
      </c>
      <c r="C335" s="961"/>
      <c r="D335" s="961"/>
      <c r="E335" s="961"/>
      <c r="F335" s="961"/>
      <c r="G335" s="961"/>
      <c r="H335" s="961"/>
      <c r="I335" s="961"/>
      <c r="J335" s="944">
        <v>441.278188</v>
      </c>
      <c r="K335" s="961"/>
      <c r="L335" s="961">
        <v>441.278188</v>
      </c>
      <c r="M335" s="961"/>
      <c r="N335" s="961"/>
      <c r="O335" s="961">
        <v>0</v>
      </c>
      <c r="P335" s="962"/>
      <c r="Q335" s="962"/>
      <c r="R335" s="961"/>
      <c r="S335" s="961"/>
      <c r="T335" s="961"/>
      <c r="U335" s="961"/>
      <c r="V335" s="963"/>
      <c r="W335" s="963"/>
      <c r="X335" s="963"/>
    </row>
    <row r="336" spans="1:24" s="837" customFormat="1">
      <c r="A336" s="959" t="s">
        <v>1985</v>
      </c>
      <c r="B336" s="964" t="s">
        <v>2250</v>
      </c>
      <c r="C336" s="961"/>
      <c r="D336" s="961"/>
      <c r="E336" s="961"/>
      <c r="F336" s="961"/>
      <c r="G336" s="961"/>
      <c r="H336" s="961"/>
      <c r="I336" s="961"/>
      <c r="J336" s="944">
        <v>35666.057409000001</v>
      </c>
      <c r="K336" s="961"/>
      <c r="L336" s="961">
        <v>35666.057409000001</v>
      </c>
      <c r="M336" s="961"/>
      <c r="N336" s="961"/>
      <c r="O336" s="961">
        <v>0</v>
      </c>
      <c r="P336" s="962"/>
      <c r="Q336" s="962"/>
      <c r="R336" s="961"/>
      <c r="S336" s="961"/>
      <c r="T336" s="961"/>
      <c r="U336" s="961"/>
      <c r="V336" s="963"/>
      <c r="W336" s="963"/>
      <c r="X336" s="963"/>
    </row>
    <row r="337" spans="1:24" s="837" customFormat="1" ht="37.5">
      <c r="A337" s="959" t="s">
        <v>2469</v>
      </c>
      <c r="B337" s="964" t="s">
        <v>2094</v>
      </c>
      <c r="C337" s="961"/>
      <c r="D337" s="961"/>
      <c r="E337" s="961"/>
      <c r="F337" s="961"/>
      <c r="G337" s="961"/>
      <c r="H337" s="961"/>
      <c r="I337" s="961"/>
      <c r="J337" s="944">
        <v>199.9</v>
      </c>
      <c r="K337" s="961"/>
      <c r="L337" s="961">
        <v>199.9</v>
      </c>
      <c r="M337" s="961"/>
      <c r="N337" s="961"/>
      <c r="O337" s="961">
        <v>0</v>
      </c>
      <c r="P337" s="962"/>
      <c r="Q337" s="962"/>
      <c r="R337" s="961"/>
      <c r="S337" s="961"/>
      <c r="T337" s="961"/>
      <c r="U337" s="961"/>
      <c r="V337" s="963"/>
      <c r="W337" s="963"/>
      <c r="X337" s="963"/>
    </row>
    <row r="338" spans="1:24" s="837" customFormat="1" ht="37.5">
      <c r="A338" s="959" t="s">
        <v>2469</v>
      </c>
      <c r="B338" s="964" t="s">
        <v>2095</v>
      </c>
      <c r="C338" s="961"/>
      <c r="D338" s="961"/>
      <c r="E338" s="961"/>
      <c r="F338" s="961"/>
      <c r="G338" s="961"/>
      <c r="H338" s="961"/>
      <c r="I338" s="961"/>
      <c r="J338" s="944">
        <v>420.9</v>
      </c>
      <c r="K338" s="961"/>
      <c r="L338" s="961">
        <v>420.9</v>
      </c>
      <c r="M338" s="961"/>
      <c r="N338" s="961"/>
      <c r="O338" s="961">
        <v>0</v>
      </c>
      <c r="P338" s="962"/>
      <c r="Q338" s="962"/>
      <c r="R338" s="961"/>
      <c r="S338" s="961"/>
      <c r="T338" s="961"/>
      <c r="U338" s="961"/>
      <c r="V338" s="963"/>
      <c r="W338" s="963"/>
      <c r="X338" s="963"/>
    </row>
    <row r="339" spans="1:24" s="837" customFormat="1" ht="37.5">
      <c r="A339" s="959" t="s">
        <v>2469</v>
      </c>
      <c r="B339" s="964" t="s">
        <v>2096</v>
      </c>
      <c r="C339" s="961"/>
      <c r="D339" s="961"/>
      <c r="E339" s="961"/>
      <c r="F339" s="961"/>
      <c r="G339" s="961"/>
      <c r="H339" s="961"/>
      <c r="I339" s="961"/>
      <c r="J339" s="944">
        <v>543.79999999999995</v>
      </c>
      <c r="K339" s="961"/>
      <c r="L339" s="961">
        <v>543.79999999999995</v>
      </c>
      <c r="M339" s="961"/>
      <c r="N339" s="961"/>
      <c r="O339" s="961">
        <v>0</v>
      </c>
      <c r="P339" s="962"/>
      <c r="Q339" s="962"/>
      <c r="R339" s="961"/>
      <c r="S339" s="961"/>
      <c r="T339" s="961"/>
      <c r="U339" s="961"/>
      <c r="V339" s="963"/>
      <c r="W339" s="963"/>
      <c r="X339" s="963"/>
    </row>
    <row r="340" spans="1:24" s="837" customFormat="1" ht="37.5">
      <c r="A340" s="959" t="s">
        <v>2469</v>
      </c>
      <c r="B340" s="964" t="s">
        <v>2097</v>
      </c>
      <c r="C340" s="961"/>
      <c r="D340" s="961"/>
      <c r="E340" s="961"/>
      <c r="F340" s="961"/>
      <c r="G340" s="961"/>
      <c r="H340" s="961"/>
      <c r="I340" s="961"/>
      <c r="J340" s="944">
        <v>275</v>
      </c>
      <c r="K340" s="961"/>
      <c r="L340" s="961">
        <v>275</v>
      </c>
      <c r="M340" s="961"/>
      <c r="N340" s="961"/>
      <c r="O340" s="961">
        <v>0</v>
      </c>
      <c r="P340" s="962"/>
      <c r="Q340" s="962"/>
      <c r="R340" s="961"/>
      <c r="S340" s="961"/>
      <c r="T340" s="961"/>
      <c r="U340" s="961"/>
      <c r="V340" s="963"/>
      <c r="W340" s="963"/>
      <c r="X340" s="963"/>
    </row>
    <row r="341" spans="1:24" s="837" customFormat="1" ht="37.5">
      <c r="A341" s="959" t="s">
        <v>2469</v>
      </c>
      <c r="B341" s="964" t="s">
        <v>2098</v>
      </c>
      <c r="C341" s="961"/>
      <c r="D341" s="961"/>
      <c r="E341" s="961"/>
      <c r="F341" s="961"/>
      <c r="G341" s="961"/>
      <c r="H341" s="961"/>
      <c r="I341" s="961"/>
      <c r="J341" s="944">
        <v>725.7</v>
      </c>
      <c r="K341" s="961"/>
      <c r="L341" s="961">
        <v>725.7</v>
      </c>
      <c r="M341" s="961"/>
      <c r="N341" s="961"/>
      <c r="O341" s="961">
        <v>0</v>
      </c>
      <c r="P341" s="962"/>
      <c r="Q341" s="962"/>
      <c r="R341" s="961"/>
      <c r="S341" s="961"/>
      <c r="T341" s="961"/>
      <c r="U341" s="961"/>
      <c r="V341" s="963"/>
      <c r="W341" s="963"/>
      <c r="X341" s="963"/>
    </row>
    <row r="342" spans="1:24" s="837" customFormat="1" ht="56.25">
      <c r="A342" s="959" t="s">
        <v>2469</v>
      </c>
      <c r="B342" s="964" t="s">
        <v>2099</v>
      </c>
      <c r="C342" s="961"/>
      <c r="D342" s="961"/>
      <c r="E342" s="961"/>
      <c r="F342" s="961"/>
      <c r="G342" s="961"/>
      <c r="H342" s="961"/>
      <c r="I342" s="961"/>
      <c r="J342" s="944">
        <v>6237.9353440000004</v>
      </c>
      <c r="K342" s="961"/>
      <c r="L342" s="961">
        <v>6237.9353440000004</v>
      </c>
      <c r="M342" s="961"/>
      <c r="N342" s="961"/>
      <c r="O342" s="961">
        <v>0</v>
      </c>
      <c r="P342" s="962"/>
      <c r="Q342" s="962"/>
      <c r="R342" s="961"/>
      <c r="S342" s="961"/>
      <c r="T342" s="961"/>
      <c r="U342" s="961"/>
      <c r="V342" s="963"/>
      <c r="W342" s="963"/>
      <c r="X342" s="963"/>
    </row>
    <row r="343" spans="1:24" s="837" customFormat="1" ht="37.5">
      <c r="A343" s="959" t="s">
        <v>2469</v>
      </c>
      <c r="B343" s="964" t="s">
        <v>2251</v>
      </c>
      <c r="C343" s="961"/>
      <c r="D343" s="961"/>
      <c r="E343" s="961"/>
      <c r="F343" s="961"/>
      <c r="G343" s="961"/>
      <c r="H343" s="961"/>
      <c r="I343" s="961"/>
      <c r="J343" s="944">
        <v>29.8</v>
      </c>
      <c r="K343" s="961"/>
      <c r="L343" s="961">
        <v>29.8</v>
      </c>
      <c r="M343" s="961"/>
      <c r="N343" s="961"/>
      <c r="O343" s="961">
        <v>0</v>
      </c>
      <c r="P343" s="962"/>
      <c r="Q343" s="962"/>
      <c r="R343" s="961"/>
      <c r="S343" s="961"/>
      <c r="T343" s="961"/>
      <c r="U343" s="961"/>
      <c r="V343" s="963"/>
      <c r="W343" s="963"/>
      <c r="X343" s="963"/>
    </row>
    <row r="344" spans="1:24" s="837" customFormat="1" ht="37.5">
      <c r="A344" s="959" t="s">
        <v>2469</v>
      </c>
      <c r="B344" s="964" t="s">
        <v>2100</v>
      </c>
      <c r="C344" s="961"/>
      <c r="D344" s="961"/>
      <c r="E344" s="961"/>
      <c r="F344" s="961"/>
      <c r="G344" s="961"/>
      <c r="H344" s="961"/>
      <c r="I344" s="961"/>
      <c r="J344" s="944">
        <v>4161.3280000000004</v>
      </c>
      <c r="K344" s="961"/>
      <c r="L344" s="961">
        <v>4161.3280000000004</v>
      </c>
      <c r="M344" s="961"/>
      <c r="N344" s="961"/>
      <c r="O344" s="961">
        <v>0</v>
      </c>
      <c r="P344" s="962"/>
      <c r="Q344" s="962"/>
      <c r="R344" s="961"/>
      <c r="S344" s="961"/>
      <c r="T344" s="961"/>
      <c r="U344" s="961"/>
      <c r="V344" s="963"/>
      <c r="W344" s="963"/>
      <c r="X344" s="963"/>
    </row>
    <row r="345" spans="1:24" s="837" customFormat="1" ht="37.5">
      <c r="A345" s="959" t="s">
        <v>2469</v>
      </c>
      <c r="B345" s="964" t="s">
        <v>2101</v>
      </c>
      <c r="C345" s="961"/>
      <c r="D345" s="961"/>
      <c r="E345" s="961"/>
      <c r="F345" s="961"/>
      <c r="G345" s="961"/>
      <c r="H345" s="961"/>
      <c r="I345" s="961"/>
      <c r="J345" s="944">
        <v>962</v>
      </c>
      <c r="K345" s="961"/>
      <c r="L345" s="961">
        <v>962</v>
      </c>
      <c r="M345" s="961"/>
      <c r="N345" s="961"/>
      <c r="O345" s="961">
        <v>0</v>
      </c>
      <c r="P345" s="962"/>
      <c r="Q345" s="962"/>
      <c r="R345" s="961"/>
      <c r="S345" s="961"/>
      <c r="T345" s="961"/>
      <c r="U345" s="961"/>
      <c r="V345" s="963"/>
      <c r="W345" s="963"/>
      <c r="X345" s="963"/>
    </row>
    <row r="346" spans="1:24" s="837" customFormat="1" ht="37.5">
      <c r="A346" s="959" t="s">
        <v>2469</v>
      </c>
      <c r="B346" s="964" t="s">
        <v>2093</v>
      </c>
      <c r="C346" s="961"/>
      <c r="D346" s="961"/>
      <c r="E346" s="961"/>
      <c r="F346" s="961"/>
      <c r="G346" s="961"/>
      <c r="H346" s="961"/>
      <c r="I346" s="961"/>
      <c r="J346" s="944">
        <v>10665.094800000001</v>
      </c>
      <c r="K346" s="961"/>
      <c r="L346" s="961">
        <v>10665.094800000001</v>
      </c>
      <c r="M346" s="961"/>
      <c r="N346" s="961"/>
      <c r="O346" s="961">
        <v>0</v>
      </c>
      <c r="P346" s="962"/>
      <c r="Q346" s="962"/>
      <c r="R346" s="961"/>
      <c r="S346" s="961"/>
      <c r="T346" s="961"/>
      <c r="U346" s="961"/>
      <c r="V346" s="963"/>
      <c r="W346" s="963"/>
      <c r="X346" s="963"/>
    </row>
    <row r="347" spans="1:24" s="837" customFormat="1" ht="37.5">
      <c r="A347" s="959" t="s">
        <v>2469</v>
      </c>
      <c r="B347" s="964" t="s">
        <v>2102</v>
      </c>
      <c r="C347" s="961"/>
      <c r="D347" s="961"/>
      <c r="E347" s="961"/>
      <c r="F347" s="961"/>
      <c r="G347" s="961"/>
      <c r="H347" s="961"/>
      <c r="I347" s="961"/>
      <c r="J347" s="944">
        <v>122.3</v>
      </c>
      <c r="K347" s="961"/>
      <c r="L347" s="961">
        <v>122.3</v>
      </c>
      <c r="M347" s="961"/>
      <c r="N347" s="961"/>
      <c r="O347" s="961">
        <v>0</v>
      </c>
      <c r="P347" s="962"/>
      <c r="Q347" s="962"/>
      <c r="R347" s="961"/>
      <c r="S347" s="961"/>
      <c r="T347" s="961"/>
      <c r="U347" s="961"/>
      <c r="V347" s="963"/>
      <c r="W347" s="963"/>
      <c r="X347" s="963"/>
    </row>
    <row r="348" spans="1:24" s="837" customFormat="1" ht="37.5">
      <c r="A348" s="959" t="s">
        <v>2469</v>
      </c>
      <c r="B348" s="964" t="s">
        <v>2103</v>
      </c>
      <c r="C348" s="961"/>
      <c r="D348" s="961"/>
      <c r="E348" s="961"/>
      <c r="F348" s="961"/>
      <c r="G348" s="961"/>
      <c r="H348" s="961"/>
      <c r="I348" s="961"/>
      <c r="J348" s="944">
        <v>170.1</v>
      </c>
      <c r="K348" s="961"/>
      <c r="L348" s="961">
        <v>170.1</v>
      </c>
      <c r="M348" s="961"/>
      <c r="N348" s="961"/>
      <c r="O348" s="961">
        <v>0</v>
      </c>
      <c r="P348" s="962"/>
      <c r="Q348" s="962"/>
      <c r="R348" s="961"/>
      <c r="S348" s="961"/>
      <c r="T348" s="961"/>
      <c r="U348" s="961"/>
      <c r="V348" s="963"/>
      <c r="W348" s="963"/>
      <c r="X348" s="963"/>
    </row>
    <row r="349" spans="1:24" s="837" customFormat="1" ht="37.5">
      <c r="A349" s="959" t="s">
        <v>2469</v>
      </c>
      <c r="B349" s="964" t="s">
        <v>2104</v>
      </c>
      <c r="C349" s="961"/>
      <c r="D349" s="961"/>
      <c r="E349" s="961"/>
      <c r="F349" s="961"/>
      <c r="G349" s="961"/>
      <c r="H349" s="961"/>
      <c r="I349" s="961"/>
      <c r="J349" s="944">
        <v>11152.199264999999</v>
      </c>
      <c r="K349" s="961"/>
      <c r="L349" s="961">
        <v>11152.199264999999</v>
      </c>
      <c r="M349" s="961"/>
      <c r="N349" s="961"/>
      <c r="O349" s="961">
        <v>0</v>
      </c>
      <c r="P349" s="962"/>
      <c r="Q349" s="962"/>
      <c r="R349" s="961"/>
      <c r="S349" s="961"/>
      <c r="T349" s="961"/>
      <c r="U349" s="961"/>
      <c r="V349" s="963"/>
      <c r="W349" s="963"/>
      <c r="X349" s="963"/>
    </row>
    <row r="350" spans="1:24" s="837" customFormat="1">
      <c r="A350" s="959" t="s">
        <v>1986</v>
      </c>
      <c r="B350" s="964" t="s">
        <v>2252</v>
      </c>
      <c r="C350" s="961"/>
      <c r="D350" s="961"/>
      <c r="E350" s="961"/>
      <c r="F350" s="961"/>
      <c r="G350" s="961"/>
      <c r="H350" s="961"/>
      <c r="I350" s="961"/>
      <c r="J350" s="944">
        <v>48616.180955999997</v>
      </c>
      <c r="K350" s="961"/>
      <c r="L350" s="961">
        <v>48616.180955999997</v>
      </c>
      <c r="M350" s="961"/>
      <c r="N350" s="961"/>
      <c r="O350" s="961">
        <v>0</v>
      </c>
      <c r="P350" s="962"/>
      <c r="Q350" s="962"/>
      <c r="R350" s="961"/>
      <c r="S350" s="961"/>
      <c r="T350" s="961"/>
      <c r="U350" s="961"/>
      <c r="V350" s="963"/>
      <c r="W350" s="963"/>
      <c r="X350" s="963"/>
    </row>
    <row r="351" spans="1:24" s="837" customFormat="1" ht="37.5">
      <c r="A351" s="959" t="s">
        <v>2469</v>
      </c>
      <c r="B351" s="964" t="s">
        <v>2106</v>
      </c>
      <c r="C351" s="961"/>
      <c r="D351" s="961"/>
      <c r="E351" s="961"/>
      <c r="F351" s="961"/>
      <c r="G351" s="961"/>
      <c r="H351" s="961"/>
      <c r="I351" s="961"/>
      <c r="J351" s="944">
        <v>12993.531000000001</v>
      </c>
      <c r="K351" s="961"/>
      <c r="L351" s="961">
        <v>12993.531000000001</v>
      </c>
      <c r="M351" s="961"/>
      <c r="N351" s="961"/>
      <c r="O351" s="961">
        <v>0</v>
      </c>
      <c r="P351" s="962"/>
      <c r="Q351" s="962"/>
      <c r="R351" s="961"/>
      <c r="S351" s="961"/>
      <c r="T351" s="961"/>
      <c r="U351" s="961"/>
      <c r="V351" s="963"/>
      <c r="W351" s="963"/>
      <c r="X351" s="963"/>
    </row>
    <row r="352" spans="1:24" s="837" customFormat="1" ht="37.5">
      <c r="A352" s="959" t="s">
        <v>2469</v>
      </c>
      <c r="B352" s="964" t="s">
        <v>2105</v>
      </c>
      <c r="C352" s="961"/>
      <c r="D352" s="961"/>
      <c r="E352" s="961"/>
      <c r="F352" s="961"/>
      <c r="G352" s="961"/>
      <c r="H352" s="961"/>
      <c r="I352" s="961"/>
      <c r="J352" s="944">
        <v>10032.009599999999</v>
      </c>
      <c r="K352" s="961"/>
      <c r="L352" s="961">
        <v>10032.009599999999</v>
      </c>
      <c r="M352" s="961"/>
      <c r="N352" s="961"/>
      <c r="O352" s="961">
        <v>0</v>
      </c>
      <c r="P352" s="962"/>
      <c r="Q352" s="962"/>
      <c r="R352" s="961"/>
      <c r="S352" s="961"/>
      <c r="T352" s="961"/>
      <c r="U352" s="961"/>
      <c r="V352" s="963"/>
      <c r="W352" s="963"/>
      <c r="X352" s="963"/>
    </row>
    <row r="353" spans="1:24" s="837" customFormat="1" ht="37.5">
      <c r="A353" s="959" t="s">
        <v>2469</v>
      </c>
      <c r="B353" s="964" t="s">
        <v>2107</v>
      </c>
      <c r="C353" s="961"/>
      <c r="D353" s="961"/>
      <c r="E353" s="961"/>
      <c r="F353" s="961"/>
      <c r="G353" s="961"/>
      <c r="H353" s="961"/>
      <c r="I353" s="961"/>
      <c r="J353" s="944">
        <v>7319.4058000000005</v>
      </c>
      <c r="K353" s="961"/>
      <c r="L353" s="961">
        <v>7319.4058000000005</v>
      </c>
      <c r="M353" s="961"/>
      <c r="N353" s="961"/>
      <c r="O353" s="961">
        <v>0</v>
      </c>
      <c r="P353" s="962"/>
      <c r="Q353" s="962"/>
      <c r="R353" s="961"/>
      <c r="S353" s="961"/>
      <c r="T353" s="961"/>
      <c r="U353" s="961"/>
      <c r="V353" s="963"/>
      <c r="W353" s="963"/>
      <c r="X353" s="963"/>
    </row>
    <row r="354" spans="1:24" s="837" customFormat="1" ht="37.5">
      <c r="A354" s="959" t="s">
        <v>2469</v>
      </c>
      <c r="B354" s="964" t="s">
        <v>2108</v>
      </c>
      <c r="C354" s="961"/>
      <c r="D354" s="961"/>
      <c r="E354" s="961"/>
      <c r="F354" s="961"/>
      <c r="G354" s="961"/>
      <c r="H354" s="961"/>
      <c r="I354" s="961"/>
      <c r="J354" s="944">
        <v>6264.2926100000004</v>
      </c>
      <c r="K354" s="961"/>
      <c r="L354" s="961">
        <v>6264.2926100000004</v>
      </c>
      <c r="M354" s="961"/>
      <c r="N354" s="961"/>
      <c r="O354" s="961">
        <v>0</v>
      </c>
      <c r="P354" s="962"/>
      <c r="Q354" s="962"/>
      <c r="R354" s="961"/>
      <c r="S354" s="961"/>
      <c r="T354" s="961"/>
      <c r="U354" s="961"/>
      <c r="V354" s="963"/>
      <c r="W354" s="963"/>
      <c r="X354" s="963"/>
    </row>
    <row r="355" spans="1:24" s="837" customFormat="1" ht="37.5">
      <c r="A355" s="959" t="s">
        <v>2469</v>
      </c>
      <c r="B355" s="964" t="s">
        <v>2109</v>
      </c>
      <c r="C355" s="961"/>
      <c r="D355" s="961"/>
      <c r="E355" s="961"/>
      <c r="F355" s="961"/>
      <c r="G355" s="961"/>
      <c r="H355" s="961"/>
      <c r="I355" s="961"/>
      <c r="J355" s="944">
        <v>6598.1840000000002</v>
      </c>
      <c r="K355" s="961"/>
      <c r="L355" s="961">
        <v>6598.1840000000002</v>
      </c>
      <c r="M355" s="961"/>
      <c r="N355" s="961"/>
      <c r="O355" s="961">
        <v>0</v>
      </c>
      <c r="P355" s="962"/>
      <c r="Q355" s="962"/>
      <c r="R355" s="961"/>
      <c r="S355" s="961"/>
      <c r="T355" s="961"/>
      <c r="U355" s="961"/>
      <c r="V355" s="963"/>
      <c r="W355" s="963"/>
      <c r="X355" s="963"/>
    </row>
    <row r="356" spans="1:24" s="837" customFormat="1">
      <c r="A356" s="959" t="s">
        <v>2469</v>
      </c>
      <c r="B356" s="964" t="s">
        <v>2110</v>
      </c>
      <c r="C356" s="961"/>
      <c r="D356" s="961"/>
      <c r="E356" s="961"/>
      <c r="F356" s="961"/>
      <c r="G356" s="961"/>
      <c r="H356" s="961"/>
      <c r="I356" s="961"/>
      <c r="J356" s="944">
        <v>5408.7579459999997</v>
      </c>
      <c r="K356" s="961"/>
      <c r="L356" s="961">
        <v>5408.7579459999997</v>
      </c>
      <c r="M356" s="961"/>
      <c r="N356" s="961"/>
      <c r="O356" s="961">
        <v>0</v>
      </c>
      <c r="P356" s="962"/>
      <c r="Q356" s="962"/>
      <c r="R356" s="961"/>
      <c r="S356" s="961"/>
      <c r="T356" s="961"/>
      <c r="U356" s="961"/>
      <c r="V356" s="963"/>
      <c r="W356" s="963"/>
      <c r="X356" s="963"/>
    </row>
    <row r="357" spans="1:24" s="837" customFormat="1">
      <c r="A357" s="959" t="s">
        <v>1987</v>
      </c>
      <c r="B357" s="964" t="s">
        <v>1725</v>
      </c>
      <c r="C357" s="961"/>
      <c r="D357" s="961"/>
      <c r="E357" s="961"/>
      <c r="F357" s="961"/>
      <c r="G357" s="961"/>
      <c r="H357" s="961"/>
      <c r="I357" s="961"/>
      <c r="J357" s="944">
        <v>60599.124944000003</v>
      </c>
      <c r="K357" s="961"/>
      <c r="L357" s="961">
        <v>60599.124944000003</v>
      </c>
      <c r="M357" s="961"/>
      <c r="N357" s="961"/>
      <c r="O357" s="961">
        <v>0</v>
      </c>
      <c r="P357" s="962"/>
      <c r="Q357" s="962"/>
      <c r="R357" s="961"/>
      <c r="S357" s="961"/>
      <c r="T357" s="961"/>
      <c r="U357" s="961"/>
      <c r="V357" s="963"/>
      <c r="W357" s="963"/>
      <c r="X357" s="963"/>
    </row>
    <row r="358" spans="1:24" s="837" customFormat="1" ht="37.5">
      <c r="A358" s="959" t="s">
        <v>2469</v>
      </c>
      <c r="B358" s="964" t="s">
        <v>2112</v>
      </c>
      <c r="C358" s="961"/>
      <c r="D358" s="961"/>
      <c r="E358" s="961"/>
      <c r="F358" s="961"/>
      <c r="G358" s="961"/>
      <c r="H358" s="961"/>
      <c r="I358" s="961"/>
      <c r="J358" s="944">
        <v>697.53930000000003</v>
      </c>
      <c r="K358" s="961"/>
      <c r="L358" s="961">
        <v>697.53930000000003</v>
      </c>
      <c r="M358" s="961"/>
      <c r="N358" s="961"/>
      <c r="O358" s="961">
        <v>0</v>
      </c>
      <c r="P358" s="962"/>
      <c r="Q358" s="962"/>
      <c r="R358" s="961"/>
      <c r="S358" s="961"/>
      <c r="T358" s="961"/>
      <c r="U358" s="961"/>
      <c r="V358" s="963"/>
      <c r="W358" s="963"/>
      <c r="X358" s="963"/>
    </row>
    <row r="359" spans="1:24" s="837" customFormat="1" ht="37.5">
      <c r="A359" s="959" t="s">
        <v>2469</v>
      </c>
      <c r="B359" s="964" t="s">
        <v>2113</v>
      </c>
      <c r="C359" s="961"/>
      <c r="D359" s="961"/>
      <c r="E359" s="961"/>
      <c r="F359" s="961"/>
      <c r="G359" s="961"/>
      <c r="H359" s="961"/>
      <c r="I359" s="961"/>
      <c r="J359" s="944">
        <v>26286.403441999999</v>
      </c>
      <c r="K359" s="961"/>
      <c r="L359" s="961">
        <v>26286.403441999999</v>
      </c>
      <c r="M359" s="961"/>
      <c r="N359" s="961"/>
      <c r="O359" s="961">
        <v>0</v>
      </c>
      <c r="P359" s="962"/>
      <c r="Q359" s="962"/>
      <c r="R359" s="961"/>
      <c r="S359" s="961"/>
      <c r="T359" s="961"/>
      <c r="U359" s="961"/>
      <c r="V359" s="963"/>
      <c r="W359" s="963"/>
      <c r="X359" s="963"/>
    </row>
    <row r="360" spans="1:24" s="837" customFormat="1" ht="37.5">
      <c r="A360" s="959" t="s">
        <v>2469</v>
      </c>
      <c r="B360" s="964" t="s">
        <v>2114</v>
      </c>
      <c r="C360" s="961"/>
      <c r="D360" s="961"/>
      <c r="E360" s="961"/>
      <c r="F360" s="961"/>
      <c r="G360" s="961"/>
      <c r="H360" s="961"/>
      <c r="I360" s="961"/>
      <c r="J360" s="944">
        <v>4973.3475440000002</v>
      </c>
      <c r="K360" s="961"/>
      <c r="L360" s="961">
        <v>4973.3475440000002</v>
      </c>
      <c r="M360" s="961"/>
      <c r="N360" s="961"/>
      <c r="O360" s="961">
        <v>0</v>
      </c>
      <c r="P360" s="962"/>
      <c r="Q360" s="962"/>
      <c r="R360" s="961"/>
      <c r="S360" s="961"/>
      <c r="T360" s="961"/>
      <c r="U360" s="961"/>
      <c r="V360" s="963"/>
      <c r="W360" s="963"/>
      <c r="X360" s="963"/>
    </row>
    <row r="361" spans="1:24" s="837" customFormat="1" ht="37.5">
      <c r="A361" s="959" t="s">
        <v>2469</v>
      </c>
      <c r="B361" s="964" t="s">
        <v>2111</v>
      </c>
      <c r="C361" s="961"/>
      <c r="D361" s="961"/>
      <c r="E361" s="961"/>
      <c r="F361" s="961"/>
      <c r="G361" s="961"/>
      <c r="H361" s="961"/>
      <c r="I361" s="961"/>
      <c r="J361" s="944">
        <v>19755.9169</v>
      </c>
      <c r="K361" s="961"/>
      <c r="L361" s="961">
        <v>19755.9169</v>
      </c>
      <c r="M361" s="961"/>
      <c r="N361" s="961"/>
      <c r="O361" s="961">
        <v>0</v>
      </c>
      <c r="P361" s="962"/>
      <c r="Q361" s="962"/>
      <c r="R361" s="961"/>
      <c r="S361" s="961"/>
      <c r="T361" s="961"/>
      <c r="U361" s="961"/>
      <c r="V361" s="963"/>
      <c r="W361" s="963"/>
      <c r="X361" s="963"/>
    </row>
    <row r="362" spans="1:24" s="837" customFormat="1" ht="37.5">
      <c r="A362" s="959" t="s">
        <v>2469</v>
      </c>
      <c r="B362" s="964" t="s">
        <v>2115</v>
      </c>
      <c r="C362" s="961"/>
      <c r="D362" s="961"/>
      <c r="E362" s="961"/>
      <c r="F362" s="961"/>
      <c r="G362" s="961"/>
      <c r="H362" s="961"/>
      <c r="I362" s="961"/>
      <c r="J362" s="944">
        <v>8001.7280000000001</v>
      </c>
      <c r="K362" s="961"/>
      <c r="L362" s="961">
        <v>8001.7280000000001</v>
      </c>
      <c r="M362" s="961"/>
      <c r="N362" s="961"/>
      <c r="O362" s="961">
        <v>0</v>
      </c>
      <c r="P362" s="962"/>
      <c r="Q362" s="962"/>
      <c r="R362" s="961"/>
      <c r="S362" s="961"/>
      <c r="T362" s="961"/>
      <c r="U362" s="961"/>
      <c r="V362" s="963"/>
      <c r="W362" s="963"/>
      <c r="X362" s="963"/>
    </row>
    <row r="363" spans="1:24" s="837" customFormat="1" ht="56.25">
      <c r="A363" s="959" t="s">
        <v>2469</v>
      </c>
      <c r="B363" s="964" t="s">
        <v>2116</v>
      </c>
      <c r="C363" s="961"/>
      <c r="D363" s="961"/>
      <c r="E363" s="961"/>
      <c r="F363" s="961"/>
      <c r="G363" s="961"/>
      <c r="H363" s="961"/>
      <c r="I363" s="961"/>
      <c r="J363" s="944">
        <v>884.18975799999998</v>
      </c>
      <c r="K363" s="961"/>
      <c r="L363" s="961">
        <v>884.18975799999998</v>
      </c>
      <c r="M363" s="961"/>
      <c r="N363" s="961"/>
      <c r="O363" s="961">
        <v>0</v>
      </c>
      <c r="P363" s="962"/>
      <c r="Q363" s="962"/>
      <c r="R363" s="961"/>
      <c r="S363" s="961"/>
      <c r="T363" s="961"/>
      <c r="U363" s="961"/>
      <c r="V363" s="963"/>
      <c r="W363" s="963"/>
      <c r="X363" s="963"/>
    </row>
    <row r="364" spans="1:24" s="837" customFormat="1">
      <c r="A364" s="959" t="s">
        <v>1988</v>
      </c>
      <c r="B364" s="964" t="s">
        <v>2253</v>
      </c>
      <c r="C364" s="961"/>
      <c r="D364" s="961"/>
      <c r="E364" s="961"/>
      <c r="F364" s="961"/>
      <c r="G364" s="961"/>
      <c r="H364" s="961"/>
      <c r="I364" s="961"/>
      <c r="J364" s="944">
        <v>12366.156029</v>
      </c>
      <c r="K364" s="961"/>
      <c r="L364" s="961">
        <v>12366.156029</v>
      </c>
      <c r="M364" s="961"/>
      <c r="N364" s="961"/>
      <c r="O364" s="961">
        <v>0</v>
      </c>
      <c r="P364" s="962"/>
      <c r="Q364" s="962"/>
      <c r="R364" s="961"/>
      <c r="S364" s="961"/>
      <c r="T364" s="961"/>
      <c r="U364" s="961"/>
      <c r="V364" s="963"/>
      <c r="W364" s="963"/>
      <c r="X364" s="963"/>
    </row>
    <row r="365" spans="1:24" s="837" customFormat="1" ht="37.5">
      <c r="A365" s="959" t="s">
        <v>2469</v>
      </c>
      <c r="B365" s="964" t="s">
        <v>2117</v>
      </c>
      <c r="C365" s="961"/>
      <c r="D365" s="961"/>
      <c r="E365" s="961"/>
      <c r="F365" s="961"/>
      <c r="G365" s="961"/>
      <c r="H365" s="961"/>
      <c r="I365" s="961"/>
      <c r="J365" s="944">
        <v>1549.7283890000001</v>
      </c>
      <c r="K365" s="961"/>
      <c r="L365" s="961">
        <v>1549.7283890000001</v>
      </c>
      <c r="M365" s="961"/>
      <c r="N365" s="961"/>
      <c r="O365" s="961">
        <v>0</v>
      </c>
      <c r="P365" s="962"/>
      <c r="Q365" s="962"/>
      <c r="R365" s="961"/>
      <c r="S365" s="961"/>
      <c r="T365" s="961"/>
      <c r="U365" s="961"/>
      <c r="V365" s="963"/>
      <c r="W365" s="963"/>
      <c r="X365" s="963"/>
    </row>
    <row r="366" spans="1:24" s="837" customFormat="1" ht="37.5">
      <c r="A366" s="959" t="s">
        <v>2469</v>
      </c>
      <c r="B366" s="964" t="s">
        <v>2118</v>
      </c>
      <c r="C366" s="961"/>
      <c r="D366" s="961"/>
      <c r="E366" s="961"/>
      <c r="F366" s="961"/>
      <c r="G366" s="961"/>
      <c r="H366" s="961"/>
      <c r="I366" s="961"/>
      <c r="J366" s="944">
        <v>10816.42764</v>
      </c>
      <c r="K366" s="961"/>
      <c r="L366" s="961">
        <v>10816.42764</v>
      </c>
      <c r="M366" s="961"/>
      <c r="N366" s="961"/>
      <c r="O366" s="961">
        <v>0</v>
      </c>
      <c r="P366" s="962"/>
      <c r="Q366" s="962"/>
      <c r="R366" s="961"/>
      <c r="S366" s="961"/>
      <c r="T366" s="961"/>
      <c r="U366" s="961"/>
      <c r="V366" s="963"/>
      <c r="W366" s="963"/>
      <c r="X366" s="963"/>
    </row>
    <row r="367" spans="1:24" s="837" customFormat="1">
      <c r="A367" s="959" t="s">
        <v>2487</v>
      </c>
      <c r="B367" s="964" t="s">
        <v>451</v>
      </c>
      <c r="C367" s="961"/>
      <c r="D367" s="961"/>
      <c r="E367" s="961"/>
      <c r="F367" s="961"/>
      <c r="G367" s="961"/>
      <c r="H367" s="961"/>
      <c r="I367" s="961"/>
      <c r="J367" s="944">
        <v>32435.002865999999</v>
      </c>
      <c r="K367" s="961"/>
      <c r="L367" s="961">
        <v>32435.002865999999</v>
      </c>
      <c r="M367" s="961"/>
      <c r="N367" s="961"/>
      <c r="O367" s="961">
        <v>0</v>
      </c>
      <c r="P367" s="962"/>
      <c r="Q367" s="962"/>
      <c r="R367" s="961"/>
      <c r="S367" s="961"/>
      <c r="T367" s="961"/>
      <c r="U367" s="961"/>
      <c r="V367" s="963"/>
      <c r="W367" s="963"/>
      <c r="X367" s="963"/>
    </row>
    <row r="368" spans="1:24" s="837" customFormat="1" ht="37.5">
      <c r="A368" s="959" t="s">
        <v>2469</v>
      </c>
      <c r="B368" s="964" t="s">
        <v>2119</v>
      </c>
      <c r="C368" s="961"/>
      <c r="D368" s="961"/>
      <c r="E368" s="961"/>
      <c r="F368" s="961"/>
      <c r="G368" s="961"/>
      <c r="H368" s="961"/>
      <c r="I368" s="961"/>
      <c r="J368" s="944">
        <v>3532.607</v>
      </c>
      <c r="K368" s="961"/>
      <c r="L368" s="961">
        <v>3532.607</v>
      </c>
      <c r="M368" s="961"/>
      <c r="N368" s="961"/>
      <c r="O368" s="961">
        <v>0</v>
      </c>
      <c r="P368" s="962"/>
      <c r="Q368" s="962"/>
      <c r="R368" s="961"/>
      <c r="S368" s="961"/>
      <c r="T368" s="961"/>
      <c r="U368" s="961"/>
      <c r="V368" s="963"/>
      <c r="W368" s="963"/>
      <c r="X368" s="963"/>
    </row>
    <row r="369" spans="1:24" s="837" customFormat="1" ht="37.5">
      <c r="A369" s="959" t="s">
        <v>2469</v>
      </c>
      <c r="B369" s="964" t="s">
        <v>2120</v>
      </c>
      <c r="C369" s="961"/>
      <c r="D369" s="961"/>
      <c r="E369" s="961"/>
      <c r="F369" s="961"/>
      <c r="G369" s="961"/>
      <c r="H369" s="961"/>
      <c r="I369" s="961"/>
      <c r="J369" s="944">
        <v>13384.732</v>
      </c>
      <c r="K369" s="961"/>
      <c r="L369" s="961">
        <v>13384.732</v>
      </c>
      <c r="M369" s="961"/>
      <c r="N369" s="961"/>
      <c r="O369" s="961">
        <v>0</v>
      </c>
      <c r="P369" s="962"/>
      <c r="Q369" s="962"/>
      <c r="R369" s="961"/>
      <c r="S369" s="961"/>
      <c r="T369" s="961"/>
      <c r="U369" s="961"/>
      <c r="V369" s="963"/>
      <c r="W369" s="963"/>
      <c r="X369" s="963"/>
    </row>
    <row r="370" spans="1:24" s="837" customFormat="1">
      <c r="A370" s="959" t="s">
        <v>2469</v>
      </c>
      <c r="B370" s="964" t="s">
        <v>2121</v>
      </c>
      <c r="C370" s="961"/>
      <c r="D370" s="961"/>
      <c r="E370" s="961"/>
      <c r="F370" s="961"/>
      <c r="G370" s="961"/>
      <c r="H370" s="961"/>
      <c r="I370" s="961"/>
      <c r="J370" s="944">
        <v>13297.033866</v>
      </c>
      <c r="K370" s="961"/>
      <c r="L370" s="961">
        <v>13297.033866</v>
      </c>
      <c r="M370" s="961"/>
      <c r="N370" s="961"/>
      <c r="O370" s="961">
        <v>0</v>
      </c>
      <c r="P370" s="962"/>
      <c r="Q370" s="962"/>
      <c r="R370" s="961"/>
      <c r="S370" s="961"/>
      <c r="T370" s="961"/>
      <c r="U370" s="961"/>
      <c r="V370" s="963"/>
      <c r="W370" s="963"/>
      <c r="X370" s="963"/>
    </row>
    <row r="371" spans="1:24" s="837" customFormat="1">
      <c r="A371" s="959" t="s">
        <v>2469</v>
      </c>
      <c r="B371" s="964" t="s">
        <v>2122</v>
      </c>
      <c r="C371" s="961"/>
      <c r="D371" s="961"/>
      <c r="E371" s="961"/>
      <c r="F371" s="961"/>
      <c r="G371" s="961"/>
      <c r="H371" s="961"/>
      <c r="I371" s="961"/>
      <c r="J371" s="944">
        <v>2220.63</v>
      </c>
      <c r="K371" s="961"/>
      <c r="L371" s="961">
        <v>2220.63</v>
      </c>
      <c r="M371" s="961"/>
      <c r="N371" s="961"/>
      <c r="O371" s="961">
        <v>0</v>
      </c>
      <c r="P371" s="962"/>
      <c r="Q371" s="962"/>
      <c r="R371" s="961"/>
      <c r="S371" s="961"/>
      <c r="T371" s="961"/>
      <c r="U371" s="961"/>
      <c r="V371" s="963"/>
      <c r="W371" s="963"/>
      <c r="X371" s="963"/>
    </row>
    <row r="372" spans="1:24" s="837" customFormat="1">
      <c r="A372" s="959" t="s">
        <v>2488</v>
      </c>
      <c r="B372" s="964" t="s">
        <v>1726</v>
      </c>
      <c r="C372" s="961"/>
      <c r="D372" s="961"/>
      <c r="E372" s="961"/>
      <c r="F372" s="961"/>
      <c r="G372" s="961"/>
      <c r="H372" s="961"/>
      <c r="I372" s="961"/>
      <c r="J372" s="944">
        <v>7439.2420000000002</v>
      </c>
      <c r="K372" s="961"/>
      <c r="L372" s="961">
        <v>7439.2420000000002</v>
      </c>
      <c r="M372" s="961"/>
      <c r="N372" s="961"/>
      <c r="O372" s="961">
        <v>0</v>
      </c>
      <c r="P372" s="962"/>
      <c r="Q372" s="962"/>
      <c r="R372" s="961"/>
      <c r="S372" s="961"/>
      <c r="T372" s="961"/>
      <c r="U372" s="961"/>
      <c r="V372" s="963"/>
      <c r="W372" s="963"/>
      <c r="X372" s="963"/>
    </row>
    <row r="373" spans="1:24" s="837" customFormat="1">
      <c r="A373" s="959" t="s">
        <v>2469</v>
      </c>
      <c r="B373" s="964" t="s">
        <v>2123</v>
      </c>
      <c r="C373" s="961"/>
      <c r="D373" s="961"/>
      <c r="E373" s="961"/>
      <c r="F373" s="961"/>
      <c r="G373" s="961"/>
      <c r="H373" s="961"/>
      <c r="I373" s="961"/>
      <c r="J373" s="944">
        <v>7439.2420000000002</v>
      </c>
      <c r="K373" s="961"/>
      <c r="L373" s="961">
        <v>7439.2420000000002</v>
      </c>
      <c r="M373" s="961"/>
      <c r="N373" s="961"/>
      <c r="O373" s="961">
        <v>0</v>
      </c>
      <c r="P373" s="962"/>
      <c r="Q373" s="962"/>
      <c r="R373" s="961"/>
      <c r="S373" s="961"/>
      <c r="T373" s="961"/>
      <c r="U373" s="961"/>
      <c r="V373" s="963"/>
      <c r="W373" s="963"/>
      <c r="X373" s="963"/>
    </row>
    <row r="374" spans="1:24" s="837" customFormat="1">
      <c r="A374" s="959" t="s">
        <v>2489</v>
      </c>
      <c r="B374" s="964" t="s">
        <v>2254</v>
      </c>
      <c r="C374" s="961"/>
      <c r="D374" s="961"/>
      <c r="E374" s="961"/>
      <c r="F374" s="961"/>
      <c r="G374" s="961"/>
      <c r="H374" s="961"/>
      <c r="I374" s="961"/>
      <c r="J374" s="944">
        <v>29189.372336</v>
      </c>
      <c r="K374" s="961"/>
      <c r="L374" s="961">
        <v>29189.372336</v>
      </c>
      <c r="M374" s="961"/>
      <c r="N374" s="961"/>
      <c r="O374" s="961">
        <v>0</v>
      </c>
      <c r="P374" s="962"/>
      <c r="Q374" s="962"/>
      <c r="R374" s="961"/>
      <c r="S374" s="961"/>
      <c r="T374" s="961"/>
      <c r="U374" s="961"/>
      <c r="V374" s="963"/>
      <c r="W374" s="963"/>
      <c r="X374" s="963"/>
    </row>
    <row r="375" spans="1:24" s="837" customFormat="1" ht="37.5">
      <c r="A375" s="959" t="s">
        <v>2469</v>
      </c>
      <c r="B375" s="964" t="s">
        <v>2124</v>
      </c>
      <c r="C375" s="961"/>
      <c r="D375" s="961"/>
      <c r="E375" s="961"/>
      <c r="F375" s="961"/>
      <c r="G375" s="961"/>
      <c r="H375" s="961"/>
      <c r="I375" s="961"/>
      <c r="J375" s="944">
        <v>29189.372336</v>
      </c>
      <c r="K375" s="961"/>
      <c r="L375" s="961">
        <v>29189.372336</v>
      </c>
      <c r="M375" s="961"/>
      <c r="N375" s="961"/>
      <c r="O375" s="961">
        <v>0</v>
      </c>
      <c r="P375" s="962"/>
      <c r="Q375" s="962"/>
      <c r="R375" s="961"/>
      <c r="S375" s="961"/>
      <c r="T375" s="961"/>
      <c r="U375" s="961"/>
      <c r="V375" s="963"/>
      <c r="W375" s="963"/>
      <c r="X375" s="963"/>
    </row>
    <row r="376" spans="1:24" s="837" customFormat="1">
      <c r="A376" s="959" t="s">
        <v>2490</v>
      </c>
      <c r="B376" s="964" t="s">
        <v>2491</v>
      </c>
      <c r="C376" s="961"/>
      <c r="D376" s="961"/>
      <c r="E376" s="961"/>
      <c r="F376" s="961"/>
      <c r="G376" s="961"/>
      <c r="H376" s="961"/>
      <c r="I376" s="961"/>
      <c r="J376" s="944">
        <v>2720.2562899999998</v>
      </c>
      <c r="K376" s="961"/>
      <c r="L376" s="961">
        <v>2720.2562899999998</v>
      </c>
      <c r="M376" s="961"/>
      <c r="N376" s="961"/>
      <c r="O376" s="961">
        <v>0</v>
      </c>
      <c r="P376" s="962"/>
      <c r="Q376" s="962"/>
      <c r="R376" s="961"/>
      <c r="S376" s="961"/>
      <c r="T376" s="961"/>
      <c r="U376" s="961"/>
      <c r="V376" s="963"/>
      <c r="W376" s="963"/>
      <c r="X376" s="963"/>
    </row>
    <row r="377" spans="1:24" s="837" customFormat="1" ht="37.5">
      <c r="A377" s="959" t="s">
        <v>2469</v>
      </c>
      <c r="B377" s="964" t="s">
        <v>2125</v>
      </c>
      <c r="C377" s="961"/>
      <c r="D377" s="961"/>
      <c r="E377" s="961"/>
      <c r="F377" s="961"/>
      <c r="G377" s="961"/>
      <c r="H377" s="961"/>
      <c r="I377" s="961"/>
      <c r="J377" s="944">
        <v>2720.2562899999998</v>
      </c>
      <c r="K377" s="961"/>
      <c r="L377" s="961">
        <v>2720.2562899999998</v>
      </c>
      <c r="M377" s="961"/>
      <c r="N377" s="961"/>
      <c r="O377" s="961">
        <v>0</v>
      </c>
      <c r="P377" s="962"/>
      <c r="Q377" s="962"/>
      <c r="R377" s="961"/>
      <c r="S377" s="961"/>
      <c r="T377" s="961"/>
      <c r="U377" s="961"/>
      <c r="V377" s="963"/>
      <c r="W377" s="963"/>
      <c r="X377" s="963"/>
    </row>
    <row r="378" spans="1:24" s="837" customFormat="1">
      <c r="A378" s="959" t="s">
        <v>2492</v>
      </c>
      <c r="B378" s="964" t="s">
        <v>1694</v>
      </c>
      <c r="C378" s="961"/>
      <c r="D378" s="961"/>
      <c r="E378" s="961"/>
      <c r="F378" s="961"/>
      <c r="G378" s="961"/>
      <c r="H378" s="961"/>
      <c r="I378" s="961"/>
      <c r="J378" s="944">
        <v>4263.9771220000002</v>
      </c>
      <c r="K378" s="961"/>
      <c r="L378" s="961">
        <v>4263.9771220000002</v>
      </c>
      <c r="M378" s="961"/>
      <c r="N378" s="961"/>
      <c r="O378" s="961">
        <v>0</v>
      </c>
      <c r="P378" s="962"/>
      <c r="Q378" s="962"/>
      <c r="R378" s="961"/>
      <c r="S378" s="961"/>
      <c r="T378" s="961"/>
      <c r="U378" s="961"/>
      <c r="V378" s="963"/>
      <c r="W378" s="963"/>
      <c r="X378" s="963"/>
    </row>
    <row r="379" spans="1:24" s="837" customFormat="1">
      <c r="A379" s="959" t="s">
        <v>2469</v>
      </c>
      <c r="B379" s="964" t="s">
        <v>2126</v>
      </c>
      <c r="C379" s="961"/>
      <c r="D379" s="961"/>
      <c r="E379" s="961"/>
      <c r="F379" s="961"/>
      <c r="G379" s="961"/>
      <c r="H379" s="961"/>
      <c r="I379" s="961"/>
      <c r="J379" s="944">
        <v>4263.9771220000002</v>
      </c>
      <c r="K379" s="961"/>
      <c r="L379" s="961">
        <v>4263.9771220000002</v>
      </c>
      <c r="M379" s="961"/>
      <c r="N379" s="961"/>
      <c r="O379" s="961">
        <v>0</v>
      </c>
      <c r="P379" s="962"/>
      <c r="Q379" s="962"/>
      <c r="R379" s="961"/>
      <c r="S379" s="961"/>
      <c r="T379" s="961"/>
      <c r="U379" s="961"/>
      <c r="V379" s="963"/>
      <c r="W379" s="963"/>
      <c r="X379" s="963"/>
    </row>
    <row r="380" spans="1:24" s="837" customFormat="1">
      <c r="A380" s="959" t="s">
        <v>2493</v>
      </c>
      <c r="B380" s="964" t="s">
        <v>557</v>
      </c>
      <c r="C380" s="961"/>
      <c r="D380" s="961"/>
      <c r="E380" s="961"/>
      <c r="F380" s="961"/>
      <c r="G380" s="961"/>
      <c r="H380" s="961"/>
      <c r="I380" s="961"/>
      <c r="J380" s="944">
        <v>124718.309221</v>
      </c>
      <c r="K380" s="961"/>
      <c r="L380" s="961">
        <v>124718.309221</v>
      </c>
      <c r="M380" s="961"/>
      <c r="N380" s="961"/>
      <c r="O380" s="961">
        <v>0</v>
      </c>
      <c r="P380" s="962"/>
      <c r="Q380" s="962"/>
      <c r="R380" s="961"/>
      <c r="S380" s="961"/>
      <c r="T380" s="961"/>
      <c r="U380" s="961"/>
      <c r="V380" s="963"/>
      <c r="W380" s="963"/>
      <c r="X380" s="963"/>
    </row>
    <row r="381" spans="1:24" s="837" customFormat="1">
      <c r="A381" s="959" t="s">
        <v>2469</v>
      </c>
      <c r="B381" s="964" t="s">
        <v>2127</v>
      </c>
      <c r="C381" s="961"/>
      <c r="D381" s="961"/>
      <c r="E381" s="961"/>
      <c r="F381" s="961"/>
      <c r="G381" s="961"/>
      <c r="H381" s="961"/>
      <c r="I381" s="961"/>
      <c r="J381" s="944">
        <v>124718.309221</v>
      </c>
      <c r="K381" s="961"/>
      <c r="L381" s="961">
        <v>124718.309221</v>
      </c>
      <c r="M381" s="961"/>
      <c r="N381" s="961"/>
      <c r="O381" s="961">
        <v>0</v>
      </c>
      <c r="P381" s="962"/>
      <c r="Q381" s="962"/>
      <c r="R381" s="961"/>
      <c r="S381" s="961"/>
      <c r="T381" s="961"/>
      <c r="U381" s="961"/>
      <c r="V381" s="963"/>
      <c r="W381" s="963"/>
      <c r="X381" s="963"/>
    </row>
    <row r="382" spans="1:24" s="837" customFormat="1">
      <c r="A382" s="959" t="s">
        <v>2494</v>
      </c>
      <c r="B382" s="964" t="s">
        <v>2255</v>
      </c>
      <c r="C382" s="961"/>
      <c r="D382" s="961"/>
      <c r="E382" s="961"/>
      <c r="F382" s="961"/>
      <c r="G382" s="961"/>
      <c r="H382" s="961"/>
      <c r="I382" s="961"/>
      <c r="J382" s="944">
        <v>8634.2019999999993</v>
      </c>
      <c r="K382" s="961"/>
      <c r="L382" s="961">
        <v>8634.2019999999993</v>
      </c>
      <c r="M382" s="961"/>
      <c r="N382" s="961"/>
      <c r="O382" s="961">
        <v>0</v>
      </c>
      <c r="P382" s="962"/>
      <c r="Q382" s="962"/>
      <c r="R382" s="961"/>
      <c r="S382" s="961"/>
      <c r="T382" s="961"/>
      <c r="U382" s="961"/>
      <c r="V382" s="963"/>
      <c r="W382" s="963"/>
      <c r="X382" s="963"/>
    </row>
    <row r="383" spans="1:24" s="837" customFormat="1" ht="37.5">
      <c r="A383" s="959" t="s">
        <v>2469</v>
      </c>
      <c r="B383" s="964" t="s">
        <v>2128</v>
      </c>
      <c r="C383" s="961"/>
      <c r="D383" s="961"/>
      <c r="E383" s="961"/>
      <c r="F383" s="961"/>
      <c r="G383" s="961"/>
      <c r="H383" s="961"/>
      <c r="I383" s="961"/>
      <c r="J383" s="944">
        <v>8634.2019999999993</v>
      </c>
      <c r="K383" s="961"/>
      <c r="L383" s="961">
        <v>8634.2019999999993</v>
      </c>
      <c r="M383" s="961"/>
      <c r="N383" s="961"/>
      <c r="O383" s="961">
        <v>0</v>
      </c>
      <c r="P383" s="962"/>
      <c r="Q383" s="962"/>
      <c r="R383" s="961"/>
      <c r="S383" s="961"/>
      <c r="T383" s="961"/>
      <c r="U383" s="961"/>
      <c r="V383" s="963"/>
      <c r="W383" s="963"/>
      <c r="X383" s="963"/>
    </row>
    <row r="384" spans="1:24" s="837" customFormat="1" ht="37.5">
      <c r="A384" s="959" t="s">
        <v>2495</v>
      </c>
      <c r="B384" s="964" t="s">
        <v>2496</v>
      </c>
      <c r="C384" s="961"/>
      <c r="D384" s="961"/>
      <c r="E384" s="961"/>
      <c r="F384" s="961"/>
      <c r="G384" s="961"/>
      <c r="H384" s="961"/>
      <c r="I384" s="961"/>
      <c r="J384" s="944">
        <v>10557.563194</v>
      </c>
      <c r="K384" s="961"/>
      <c r="L384" s="961">
        <v>10557.563194</v>
      </c>
      <c r="M384" s="961"/>
      <c r="N384" s="961"/>
      <c r="O384" s="961">
        <v>0</v>
      </c>
      <c r="P384" s="962"/>
      <c r="Q384" s="962"/>
      <c r="R384" s="961"/>
      <c r="S384" s="961"/>
      <c r="T384" s="961"/>
      <c r="U384" s="961"/>
      <c r="V384" s="963"/>
      <c r="W384" s="963"/>
      <c r="X384" s="963"/>
    </row>
    <row r="385" spans="1:24" s="837" customFormat="1" ht="37.5">
      <c r="A385" s="959" t="s">
        <v>2469</v>
      </c>
      <c r="B385" s="964" t="s">
        <v>2129</v>
      </c>
      <c r="C385" s="961"/>
      <c r="D385" s="961"/>
      <c r="E385" s="961"/>
      <c r="F385" s="961"/>
      <c r="G385" s="961"/>
      <c r="H385" s="961"/>
      <c r="I385" s="961"/>
      <c r="J385" s="944">
        <v>1579.633</v>
      </c>
      <c r="K385" s="961"/>
      <c r="L385" s="961">
        <v>1579.633</v>
      </c>
      <c r="M385" s="961"/>
      <c r="N385" s="961"/>
      <c r="O385" s="961">
        <v>0</v>
      </c>
      <c r="P385" s="962"/>
      <c r="Q385" s="962"/>
      <c r="R385" s="961"/>
      <c r="S385" s="961"/>
      <c r="T385" s="961"/>
      <c r="U385" s="961"/>
      <c r="V385" s="963"/>
      <c r="W385" s="963"/>
      <c r="X385" s="963"/>
    </row>
    <row r="386" spans="1:24" s="837" customFormat="1" ht="37.5">
      <c r="A386" s="959" t="s">
        <v>2469</v>
      </c>
      <c r="B386" s="964" t="s">
        <v>2130</v>
      </c>
      <c r="C386" s="961"/>
      <c r="D386" s="961"/>
      <c r="E386" s="961"/>
      <c r="F386" s="961"/>
      <c r="G386" s="961"/>
      <c r="H386" s="961"/>
      <c r="I386" s="961"/>
      <c r="J386" s="944">
        <v>5472.7860000000001</v>
      </c>
      <c r="K386" s="961"/>
      <c r="L386" s="961">
        <v>5472.7860000000001</v>
      </c>
      <c r="M386" s="961"/>
      <c r="N386" s="961"/>
      <c r="O386" s="961">
        <v>0</v>
      </c>
      <c r="P386" s="962"/>
      <c r="Q386" s="962"/>
      <c r="R386" s="961"/>
      <c r="S386" s="961"/>
      <c r="T386" s="961"/>
      <c r="U386" s="961"/>
      <c r="V386" s="963"/>
      <c r="W386" s="963"/>
      <c r="X386" s="963"/>
    </row>
    <row r="387" spans="1:24" s="837" customFormat="1" ht="37.5">
      <c r="A387" s="959" t="s">
        <v>2469</v>
      </c>
      <c r="B387" s="964" t="s">
        <v>2131</v>
      </c>
      <c r="C387" s="961"/>
      <c r="D387" s="961"/>
      <c r="E387" s="961"/>
      <c r="F387" s="961"/>
      <c r="G387" s="961"/>
      <c r="H387" s="961"/>
      <c r="I387" s="961"/>
      <c r="J387" s="944">
        <v>729.02665300000001</v>
      </c>
      <c r="K387" s="961"/>
      <c r="L387" s="961">
        <v>729.02665300000001</v>
      </c>
      <c r="M387" s="961"/>
      <c r="N387" s="961"/>
      <c r="O387" s="961">
        <v>0</v>
      </c>
      <c r="P387" s="962"/>
      <c r="Q387" s="962"/>
      <c r="R387" s="961"/>
      <c r="S387" s="961"/>
      <c r="T387" s="961"/>
      <c r="U387" s="961"/>
      <c r="V387" s="963"/>
      <c r="W387" s="963"/>
      <c r="X387" s="963"/>
    </row>
    <row r="388" spans="1:24" s="837" customFormat="1">
      <c r="A388" s="959" t="s">
        <v>2469</v>
      </c>
      <c r="B388" s="964" t="s">
        <v>2132</v>
      </c>
      <c r="C388" s="961"/>
      <c r="D388" s="961"/>
      <c r="E388" s="961"/>
      <c r="F388" s="961"/>
      <c r="G388" s="961"/>
      <c r="H388" s="961"/>
      <c r="I388" s="961"/>
      <c r="J388" s="944">
        <v>2776.1175410000001</v>
      </c>
      <c r="K388" s="961"/>
      <c r="L388" s="961">
        <v>2776.1175410000001</v>
      </c>
      <c r="M388" s="961"/>
      <c r="N388" s="961"/>
      <c r="O388" s="961">
        <v>0</v>
      </c>
      <c r="P388" s="962"/>
      <c r="Q388" s="962"/>
      <c r="R388" s="961"/>
      <c r="S388" s="961"/>
      <c r="T388" s="961"/>
      <c r="U388" s="961"/>
      <c r="V388" s="963"/>
      <c r="W388" s="963"/>
      <c r="X388" s="963"/>
    </row>
    <row r="389" spans="1:24" s="837" customFormat="1">
      <c r="A389" s="959" t="s">
        <v>2497</v>
      </c>
      <c r="B389" s="964" t="s">
        <v>1665</v>
      </c>
      <c r="C389" s="961"/>
      <c r="D389" s="961"/>
      <c r="E389" s="961"/>
      <c r="F389" s="961"/>
      <c r="G389" s="961"/>
      <c r="H389" s="961"/>
      <c r="I389" s="961"/>
      <c r="J389" s="944">
        <v>6722.4108139999998</v>
      </c>
      <c r="K389" s="961"/>
      <c r="L389" s="961">
        <v>6722.4108139999998</v>
      </c>
      <c r="M389" s="961"/>
      <c r="N389" s="961"/>
      <c r="O389" s="961">
        <v>0</v>
      </c>
      <c r="P389" s="962"/>
      <c r="Q389" s="962"/>
      <c r="R389" s="961"/>
      <c r="S389" s="961"/>
      <c r="T389" s="961"/>
      <c r="U389" s="961"/>
      <c r="V389" s="963"/>
      <c r="W389" s="963"/>
      <c r="X389" s="963"/>
    </row>
    <row r="390" spans="1:24" s="837" customFormat="1" ht="37.5">
      <c r="A390" s="959" t="s">
        <v>2469</v>
      </c>
      <c r="B390" s="964" t="s">
        <v>2133</v>
      </c>
      <c r="C390" s="961"/>
      <c r="D390" s="961"/>
      <c r="E390" s="961"/>
      <c r="F390" s="961"/>
      <c r="G390" s="961"/>
      <c r="H390" s="961"/>
      <c r="I390" s="961"/>
      <c r="J390" s="944">
        <v>6722.4108139999998</v>
      </c>
      <c r="K390" s="961"/>
      <c r="L390" s="961">
        <v>6722.4108139999998</v>
      </c>
      <c r="M390" s="961"/>
      <c r="N390" s="961"/>
      <c r="O390" s="961">
        <v>0</v>
      </c>
      <c r="P390" s="962"/>
      <c r="Q390" s="962"/>
      <c r="R390" s="961"/>
      <c r="S390" s="961"/>
      <c r="T390" s="961"/>
      <c r="U390" s="961"/>
      <c r="V390" s="963"/>
      <c r="W390" s="963"/>
      <c r="X390" s="963"/>
    </row>
    <row r="391" spans="1:24" s="837" customFormat="1">
      <c r="A391" s="959" t="s">
        <v>2498</v>
      </c>
      <c r="B391" s="964" t="s">
        <v>1960</v>
      </c>
      <c r="C391" s="961"/>
      <c r="D391" s="961"/>
      <c r="E391" s="961"/>
      <c r="F391" s="961"/>
      <c r="G391" s="961"/>
      <c r="H391" s="961"/>
      <c r="I391" s="961"/>
      <c r="J391" s="944">
        <v>5113.4633270000004</v>
      </c>
      <c r="K391" s="961"/>
      <c r="L391" s="961">
        <v>5113.4633270000004</v>
      </c>
      <c r="M391" s="961"/>
      <c r="N391" s="961"/>
      <c r="O391" s="961">
        <v>0</v>
      </c>
      <c r="P391" s="962"/>
      <c r="Q391" s="962"/>
      <c r="R391" s="961"/>
      <c r="S391" s="961"/>
      <c r="T391" s="961"/>
      <c r="U391" s="961"/>
      <c r="V391" s="963"/>
      <c r="W391" s="963"/>
      <c r="X391" s="963"/>
    </row>
    <row r="392" spans="1:24" s="837" customFormat="1" ht="37.5">
      <c r="A392" s="959" t="s">
        <v>2469</v>
      </c>
      <c r="B392" s="964" t="s">
        <v>2256</v>
      </c>
      <c r="C392" s="961"/>
      <c r="D392" s="961"/>
      <c r="E392" s="961"/>
      <c r="F392" s="961"/>
      <c r="G392" s="961"/>
      <c r="H392" s="961"/>
      <c r="I392" s="961"/>
      <c r="J392" s="944">
        <v>293.78031099999998</v>
      </c>
      <c r="K392" s="961"/>
      <c r="L392" s="961">
        <v>293.78031099999998</v>
      </c>
      <c r="M392" s="961"/>
      <c r="N392" s="961"/>
      <c r="O392" s="961">
        <v>0</v>
      </c>
      <c r="P392" s="962"/>
      <c r="Q392" s="962"/>
      <c r="R392" s="961"/>
      <c r="S392" s="961"/>
      <c r="T392" s="961"/>
      <c r="U392" s="961"/>
      <c r="V392" s="963"/>
      <c r="W392" s="963"/>
      <c r="X392" s="963"/>
    </row>
    <row r="393" spans="1:24" s="837" customFormat="1">
      <c r="A393" s="959" t="s">
        <v>2469</v>
      </c>
      <c r="B393" s="964" t="s">
        <v>2134</v>
      </c>
      <c r="C393" s="961"/>
      <c r="D393" s="961"/>
      <c r="E393" s="961"/>
      <c r="F393" s="961"/>
      <c r="G393" s="961"/>
      <c r="H393" s="961"/>
      <c r="I393" s="961"/>
      <c r="J393" s="944">
        <v>4819.683016</v>
      </c>
      <c r="K393" s="961"/>
      <c r="L393" s="961">
        <v>4819.683016</v>
      </c>
      <c r="M393" s="961"/>
      <c r="N393" s="961"/>
      <c r="O393" s="961">
        <v>0</v>
      </c>
      <c r="P393" s="962"/>
      <c r="Q393" s="962"/>
      <c r="R393" s="961"/>
      <c r="S393" s="961"/>
      <c r="T393" s="961"/>
      <c r="U393" s="961"/>
      <c r="V393" s="963"/>
      <c r="W393" s="963"/>
      <c r="X393" s="963"/>
    </row>
    <row r="394" spans="1:24" s="837" customFormat="1">
      <c r="A394" s="959" t="s">
        <v>2499</v>
      </c>
      <c r="B394" s="964" t="s">
        <v>2192</v>
      </c>
      <c r="C394" s="961"/>
      <c r="D394" s="961"/>
      <c r="E394" s="961"/>
      <c r="F394" s="961"/>
      <c r="G394" s="961"/>
      <c r="H394" s="961"/>
      <c r="I394" s="961"/>
      <c r="J394" s="944">
        <v>2712.8960000000002</v>
      </c>
      <c r="K394" s="961"/>
      <c r="L394" s="961">
        <v>2712.8960000000002</v>
      </c>
      <c r="M394" s="961"/>
      <c r="N394" s="961"/>
      <c r="O394" s="961">
        <v>0</v>
      </c>
      <c r="P394" s="962"/>
      <c r="Q394" s="962"/>
      <c r="R394" s="961"/>
      <c r="S394" s="961"/>
      <c r="T394" s="961"/>
      <c r="U394" s="961"/>
      <c r="V394" s="963"/>
      <c r="W394" s="963"/>
      <c r="X394" s="963"/>
    </row>
    <row r="395" spans="1:24" s="837" customFormat="1" ht="37.5">
      <c r="A395" s="959" t="s">
        <v>2469</v>
      </c>
      <c r="B395" s="964" t="s">
        <v>2135</v>
      </c>
      <c r="C395" s="961"/>
      <c r="D395" s="961"/>
      <c r="E395" s="961"/>
      <c r="F395" s="961"/>
      <c r="G395" s="961"/>
      <c r="H395" s="961"/>
      <c r="I395" s="961"/>
      <c r="J395" s="944">
        <v>2712.8960000000002</v>
      </c>
      <c r="K395" s="961"/>
      <c r="L395" s="961">
        <v>2712.8960000000002</v>
      </c>
      <c r="M395" s="961"/>
      <c r="N395" s="961"/>
      <c r="O395" s="961">
        <v>0</v>
      </c>
      <c r="P395" s="962"/>
      <c r="Q395" s="962"/>
      <c r="R395" s="961"/>
      <c r="S395" s="961"/>
      <c r="T395" s="961"/>
      <c r="U395" s="961"/>
      <c r="V395" s="963"/>
      <c r="W395" s="963"/>
      <c r="X395" s="963"/>
    </row>
    <row r="396" spans="1:24" s="837" customFormat="1">
      <c r="A396" s="959" t="s">
        <v>2500</v>
      </c>
      <c r="B396" s="964" t="s">
        <v>2501</v>
      </c>
      <c r="C396" s="961"/>
      <c r="D396" s="961"/>
      <c r="E396" s="961"/>
      <c r="F396" s="961"/>
      <c r="G396" s="961"/>
      <c r="H396" s="961"/>
      <c r="I396" s="961"/>
      <c r="J396" s="944">
        <v>1697.537</v>
      </c>
      <c r="K396" s="961"/>
      <c r="L396" s="961">
        <v>1697.537</v>
      </c>
      <c r="M396" s="961"/>
      <c r="N396" s="961"/>
      <c r="O396" s="961">
        <v>0</v>
      </c>
      <c r="P396" s="962"/>
      <c r="Q396" s="962"/>
      <c r="R396" s="961"/>
      <c r="S396" s="961"/>
      <c r="T396" s="961"/>
      <c r="U396" s="961"/>
      <c r="V396" s="963"/>
      <c r="W396" s="963"/>
      <c r="X396" s="963"/>
    </row>
    <row r="397" spans="1:24" s="837" customFormat="1" ht="37.5">
      <c r="A397" s="959" t="s">
        <v>2469</v>
      </c>
      <c r="B397" s="964" t="s">
        <v>2136</v>
      </c>
      <c r="C397" s="961"/>
      <c r="D397" s="961"/>
      <c r="E397" s="961"/>
      <c r="F397" s="961"/>
      <c r="G397" s="961"/>
      <c r="H397" s="961"/>
      <c r="I397" s="961"/>
      <c r="J397" s="944">
        <v>1697.537</v>
      </c>
      <c r="K397" s="961"/>
      <c r="L397" s="961">
        <v>1697.537</v>
      </c>
      <c r="M397" s="961"/>
      <c r="N397" s="961"/>
      <c r="O397" s="961">
        <v>0</v>
      </c>
      <c r="P397" s="962"/>
      <c r="Q397" s="962"/>
      <c r="R397" s="961"/>
      <c r="S397" s="961"/>
      <c r="T397" s="961"/>
      <c r="U397" s="961"/>
      <c r="V397" s="963"/>
      <c r="W397" s="963"/>
      <c r="X397" s="963"/>
    </row>
    <row r="398" spans="1:24" s="837" customFormat="1">
      <c r="A398" s="959" t="s">
        <v>2502</v>
      </c>
      <c r="B398" s="964" t="s">
        <v>2503</v>
      </c>
      <c r="C398" s="961"/>
      <c r="D398" s="961"/>
      <c r="E398" s="961"/>
      <c r="F398" s="961"/>
      <c r="G398" s="961"/>
      <c r="H398" s="961"/>
      <c r="I398" s="961"/>
      <c r="J398" s="944">
        <v>1120.279</v>
      </c>
      <c r="K398" s="961"/>
      <c r="L398" s="961">
        <v>1120.279</v>
      </c>
      <c r="M398" s="961"/>
      <c r="N398" s="961"/>
      <c r="O398" s="961">
        <v>0</v>
      </c>
      <c r="P398" s="962"/>
      <c r="Q398" s="962"/>
      <c r="R398" s="961"/>
      <c r="S398" s="961"/>
      <c r="T398" s="961"/>
      <c r="U398" s="961"/>
      <c r="V398" s="963"/>
      <c r="W398" s="963"/>
      <c r="X398" s="963"/>
    </row>
    <row r="399" spans="1:24" s="837" customFormat="1" ht="37.5">
      <c r="A399" s="959" t="s">
        <v>2469</v>
      </c>
      <c r="B399" s="964" t="s">
        <v>2137</v>
      </c>
      <c r="C399" s="961"/>
      <c r="D399" s="961"/>
      <c r="E399" s="961"/>
      <c r="F399" s="961"/>
      <c r="G399" s="961"/>
      <c r="H399" s="961"/>
      <c r="I399" s="961"/>
      <c r="J399" s="944">
        <v>1120.279</v>
      </c>
      <c r="K399" s="961"/>
      <c r="L399" s="961">
        <v>1120.279</v>
      </c>
      <c r="M399" s="961"/>
      <c r="N399" s="961"/>
      <c r="O399" s="961">
        <v>0</v>
      </c>
      <c r="P399" s="962"/>
      <c r="Q399" s="962"/>
      <c r="R399" s="961"/>
      <c r="S399" s="961"/>
      <c r="T399" s="961"/>
      <c r="U399" s="961"/>
      <c r="V399" s="963"/>
      <c r="W399" s="963"/>
      <c r="X399" s="963"/>
    </row>
    <row r="400" spans="1:24" s="837" customFormat="1">
      <c r="A400" s="959" t="s">
        <v>2504</v>
      </c>
      <c r="B400" s="964" t="s">
        <v>1486</v>
      </c>
      <c r="C400" s="961"/>
      <c r="D400" s="961"/>
      <c r="E400" s="961"/>
      <c r="F400" s="961"/>
      <c r="G400" s="961"/>
      <c r="H400" s="961"/>
      <c r="I400" s="961"/>
      <c r="J400" s="944">
        <v>1583.64</v>
      </c>
      <c r="K400" s="961"/>
      <c r="L400" s="961">
        <v>1583.64</v>
      </c>
      <c r="M400" s="961"/>
      <c r="N400" s="961"/>
      <c r="O400" s="961">
        <v>0</v>
      </c>
      <c r="P400" s="962"/>
      <c r="Q400" s="962"/>
      <c r="R400" s="961"/>
      <c r="S400" s="961"/>
      <c r="T400" s="961"/>
      <c r="U400" s="961"/>
      <c r="V400" s="963"/>
      <c r="W400" s="963"/>
      <c r="X400" s="963"/>
    </row>
    <row r="401" spans="1:24" s="837" customFormat="1">
      <c r="A401" s="959" t="s">
        <v>2469</v>
      </c>
      <c r="B401" s="964" t="s">
        <v>2138</v>
      </c>
      <c r="C401" s="961"/>
      <c r="D401" s="961"/>
      <c r="E401" s="961"/>
      <c r="F401" s="961"/>
      <c r="G401" s="961"/>
      <c r="H401" s="961"/>
      <c r="I401" s="961"/>
      <c r="J401" s="944">
        <v>1583.64</v>
      </c>
      <c r="K401" s="961"/>
      <c r="L401" s="961">
        <v>1583.64</v>
      </c>
      <c r="M401" s="961"/>
      <c r="N401" s="961"/>
      <c r="O401" s="961">
        <v>0</v>
      </c>
      <c r="P401" s="962"/>
      <c r="Q401" s="962"/>
      <c r="R401" s="961"/>
      <c r="S401" s="961"/>
      <c r="T401" s="961"/>
      <c r="U401" s="961"/>
      <c r="V401" s="963"/>
      <c r="W401" s="963"/>
      <c r="X401" s="963"/>
    </row>
    <row r="402" spans="1:24" s="837" customFormat="1">
      <c r="A402" s="959" t="s">
        <v>2505</v>
      </c>
      <c r="B402" s="964" t="s">
        <v>1578</v>
      </c>
      <c r="C402" s="961"/>
      <c r="D402" s="961"/>
      <c r="E402" s="961"/>
      <c r="F402" s="961"/>
      <c r="G402" s="961"/>
      <c r="H402" s="961"/>
      <c r="I402" s="961"/>
      <c r="J402" s="944">
        <v>140</v>
      </c>
      <c r="K402" s="961"/>
      <c r="L402" s="961">
        <v>140</v>
      </c>
      <c r="M402" s="961"/>
      <c r="N402" s="961"/>
      <c r="O402" s="961">
        <v>0</v>
      </c>
      <c r="P402" s="962"/>
      <c r="Q402" s="962"/>
      <c r="R402" s="961"/>
      <c r="S402" s="961"/>
      <c r="T402" s="961"/>
      <c r="U402" s="961"/>
      <c r="V402" s="963"/>
      <c r="W402" s="963"/>
      <c r="X402" s="963"/>
    </row>
    <row r="403" spans="1:24" s="837" customFormat="1">
      <c r="A403" s="959" t="s">
        <v>2469</v>
      </c>
      <c r="B403" s="964" t="s">
        <v>2139</v>
      </c>
      <c r="C403" s="961"/>
      <c r="D403" s="961"/>
      <c r="E403" s="961"/>
      <c r="F403" s="961"/>
      <c r="G403" s="961"/>
      <c r="H403" s="961"/>
      <c r="I403" s="961"/>
      <c r="J403" s="944">
        <v>140</v>
      </c>
      <c r="K403" s="961"/>
      <c r="L403" s="961">
        <v>140</v>
      </c>
      <c r="M403" s="961"/>
      <c r="N403" s="961"/>
      <c r="O403" s="961">
        <v>0</v>
      </c>
      <c r="P403" s="962"/>
      <c r="Q403" s="962"/>
      <c r="R403" s="961"/>
      <c r="S403" s="961"/>
      <c r="T403" s="961"/>
      <c r="U403" s="961"/>
      <c r="V403" s="963"/>
      <c r="W403" s="963"/>
      <c r="X403" s="963"/>
    </row>
    <row r="404" spans="1:24" s="837" customFormat="1">
      <c r="A404" s="959" t="s">
        <v>2506</v>
      </c>
      <c r="B404" s="964" t="s">
        <v>2507</v>
      </c>
      <c r="C404" s="961"/>
      <c r="D404" s="961"/>
      <c r="E404" s="961"/>
      <c r="F404" s="961"/>
      <c r="G404" s="961"/>
      <c r="H404" s="961"/>
      <c r="I404" s="961"/>
      <c r="J404" s="944">
        <v>1970.4658509999999</v>
      </c>
      <c r="K404" s="961"/>
      <c r="L404" s="961">
        <v>1970.4658509999999</v>
      </c>
      <c r="M404" s="961"/>
      <c r="N404" s="961"/>
      <c r="O404" s="961">
        <v>0</v>
      </c>
      <c r="P404" s="962"/>
      <c r="Q404" s="962"/>
      <c r="R404" s="961"/>
      <c r="S404" s="961"/>
      <c r="T404" s="961"/>
      <c r="U404" s="961"/>
      <c r="V404" s="963"/>
      <c r="W404" s="963"/>
      <c r="X404" s="963"/>
    </row>
    <row r="405" spans="1:24" s="837" customFormat="1" ht="37.5">
      <c r="A405" s="959" t="s">
        <v>2469</v>
      </c>
      <c r="B405" s="964" t="s">
        <v>2140</v>
      </c>
      <c r="C405" s="961"/>
      <c r="D405" s="961"/>
      <c r="E405" s="961"/>
      <c r="F405" s="961"/>
      <c r="G405" s="961"/>
      <c r="H405" s="961"/>
      <c r="I405" s="961"/>
      <c r="J405" s="944">
        <v>1970.4658509999999</v>
      </c>
      <c r="K405" s="961"/>
      <c r="L405" s="961">
        <v>1970.4658509999999</v>
      </c>
      <c r="M405" s="961"/>
      <c r="N405" s="961"/>
      <c r="O405" s="961">
        <v>0</v>
      </c>
      <c r="P405" s="962"/>
      <c r="Q405" s="962"/>
      <c r="R405" s="961"/>
      <c r="S405" s="961"/>
      <c r="T405" s="961"/>
      <c r="U405" s="961"/>
      <c r="V405" s="963"/>
      <c r="W405" s="963"/>
      <c r="X405" s="963"/>
    </row>
    <row r="406" spans="1:24" s="837" customFormat="1">
      <c r="A406" s="959" t="s">
        <v>2508</v>
      </c>
      <c r="B406" s="964" t="s">
        <v>2509</v>
      </c>
      <c r="C406" s="961"/>
      <c r="D406" s="961"/>
      <c r="E406" s="961"/>
      <c r="F406" s="961"/>
      <c r="G406" s="961"/>
      <c r="H406" s="961"/>
      <c r="I406" s="961"/>
      <c r="J406" s="944">
        <v>1058.2180000000001</v>
      </c>
      <c r="K406" s="961"/>
      <c r="L406" s="961">
        <v>1058.2180000000001</v>
      </c>
      <c r="M406" s="961"/>
      <c r="N406" s="961"/>
      <c r="O406" s="961">
        <v>0</v>
      </c>
      <c r="P406" s="962"/>
      <c r="Q406" s="962"/>
      <c r="R406" s="961"/>
      <c r="S406" s="961"/>
      <c r="T406" s="961"/>
      <c r="U406" s="961"/>
      <c r="V406" s="963"/>
      <c r="W406" s="963"/>
      <c r="X406" s="963"/>
    </row>
    <row r="407" spans="1:24" s="837" customFormat="1" ht="37.5">
      <c r="A407" s="959" t="s">
        <v>2469</v>
      </c>
      <c r="B407" s="964" t="s">
        <v>2141</v>
      </c>
      <c r="C407" s="961"/>
      <c r="D407" s="961"/>
      <c r="E407" s="961"/>
      <c r="F407" s="961"/>
      <c r="G407" s="961"/>
      <c r="H407" s="961"/>
      <c r="I407" s="961"/>
      <c r="J407" s="944">
        <v>1058.2180000000001</v>
      </c>
      <c r="K407" s="961"/>
      <c r="L407" s="961">
        <v>1058.2180000000001</v>
      </c>
      <c r="M407" s="961"/>
      <c r="N407" s="961"/>
      <c r="O407" s="961">
        <v>0</v>
      </c>
      <c r="P407" s="962"/>
      <c r="Q407" s="962"/>
      <c r="R407" s="961"/>
      <c r="S407" s="961"/>
      <c r="T407" s="961"/>
      <c r="U407" s="961"/>
      <c r="V407" s="963"/>
      <c r="W407" s="963"/>
      <c r="X407" s="963"/>
    </row>
    <row r="408" spans="1:24" s="837" customFormat="1">
      <c r="A408" s="959" t="s">
        <v>2510</v>
      </c>
      <c r="B408" s="964" t="s">
        <v>2511</v>
      </c>
      <c r="C408" s="961"/>
      <c r="D408" s="961"/>
      <c r="E408" s="961"/>
      <c r="F408" s="961"/>
      <c r="G408" s="961"/>
      <c r="H408" s="961"/>
      <c r="I408" s="961"/>
      <c r="J408" s="944">
        <v>765.84518000000003</v>
      </c>
      <c r="K408" s="961"/>
      <c r="L408" s="961">
        <v>765.84518000000003</v>
      </c>
      <c r="M408" s="961"/>
      <c r="N408" s="961"/>
      <c r="O408" s="961">
        <v>0</v>
      </c>
      <c r="P408" s="962"/>
      <c r="Q408" s="962"/>
      <c r="R408" s="961"/>
      <c r="S408" s="961"/>
      <c r="T408" s="961"/>
      <c r="U408" s="961"/>
      <c r="V408" s="963"/>
      <c r="W408" s="963"/>
      <c r="X408" s="963"/>
    </row>
    <row r="409" spans="1:24" s="837" customFormat="1">
      <c r="A409" s="959" t="s">
        <v>2469</v>
      </c>
      <c r="B409" s="964" t="s">
        <v>2142</v>
      </c>
      <c r="C409" s="961"/>
      <c r="D409" s="961"/>
      <c r="E409" s="961"/>
      <c r="F409" s="961"/>
      <c r="G409" s="961"/>
      <c r="H409" s="961"/>
      <c r="I409" s="961"/>
      <c r="J409" s="944">
        <v>765.84518000000003</v>
      </c>
      <c r="K409" s="961"/>
      <c r="L409" s="961">
        <v>765.84518000000003</v>
      </c>
      <c r="M409" s="961"/>
      <c r="N409" s="961"/>
      <c r="O409" s="961">
        <v>0</v>
      </c>
      <c r="P409" s="962"/>
      <c r="Q409" s="962"/>
      <c r="R409" s="961"/>
      <c r="S409" s="961"/>
      <c r="T409" s="961"/>
      <c r="U409" s="961"/>
      <c r="V409" s="963"/>
      <c r="W409" s="963"/>
      <c r="X409" s="963"/>
    </row>
    <row r="410" spans="1:24" s="837" customFormat="1">
      <c r="A410" s="959" t="s">
        <v>2512</v>
      </c>
      <c r="B410" s="964" t="s">
        <v>2513</v>
      </c>
      <c r="C410" s="961"/>
      <c r="D410" s="961"/>
      <c r="E410" s="961"/>
      <c r="F410" s="961"/>
      <c r="G410" s="961"/>
      <c r="H410" s="961"/>
      <c r="I410" s="961"/>
      <c r="J410" s="944">
        <v>159.09</v>
      </c>
      <c r="K410" s="961"/>
      <c r="L410" s="961">
        <v>159.09</v>
      </c>
      <c r="M410" s="961"/>
      <c r="N410" s="961"/>
      <c r="O410" s="961">
        <v>0</v>
      </c>
      <c r="P410" s="962"/>
      <c r="Q410" s="962"/>
      <c r="R410" s="961"/>
      <c r="S410" s="961"/>
      <c r="T410" s="961"/>
      <c r="U410" s="961"/>
      <c r="V410" s="963"/>
      <c r="W410" s="963"/>
      <c r="X410" s="963"/>
    </row>
    <row r="411" spans="1:24" s="837" customFormat="1">
      <c r="A411" s="959" t="s">
        <v>2469</v>
      </c>
      <c r="B411" s="964" t="s">
        <v>2143</v>
      </c>
      <c r="C411" s="961"/>
      <c r="D411" s="961"/>
      <c r="E411" s="961"/>
      <c r="F411" s="961"/>
      <c r="G411" s="961"/>
      <c r="H411" s="961"/>
      <c r="I411" s="961"/>
      <c r="J411" s="944">
        <v>159.09</v>
      </c>
      <c r="K411" s="961"/>
      <c r="L411" s="961">
        <v>159.09</v>
      </c>
      <c r="M411" s="961"/>
      <c r="N411" s="961"/>
      <c r="O411" s="961">
        <v>0</v>
      </c>
      <c r="P411" s="962"/>
      <c r="Q411" s="962"/>
      <c r="R411" s="961"/>
      <c r="S411" s="961"/>
      <c r="T411" s="961"/>
      <c r="U411" s="961"/>
      <c r="V411" s="963"/>
      <c r="W411" s="963"/>
      <c r="X411" s="963"/>
    </row>
    <row r="412" spans="1:24" s="837" customFormat="1">
      <c r="A412" s="959" t="s">
        <v>2514</v>
      </c>
      <c r="B412" s="964" t="s">
        <v>1576</v>
      </c>
      <c r="C412" s="961"/>
      <c r="D412" s="961"/>
      <c r="E412" s="961"/>
      <c r="F412" s="961"/>
      <c r="G412" s="961"/>
      <c r="H412" s="961"/>
      <c r="I412" s="961"/>
      <c r="J412" s="944">
        <v>332.61799999999999</v>
      </c>
      <c r="K412" s="961"/>
      <c r="L412" s="961">
        <v>332.61799999999999</v>
      </c>
      <c r="M412" s="961"/>
      <c r="N412" s="961"/>
      <c r="O412" s="961">
        <v>0</v>
      </c>
      <c r="P412" s="962"/>
      <c r="Q412" s="962"/>
      <c r="R412" s="961"/>
      <c r="S412" s="961"/>
      <c r="T412" s="961"/>
      <c r="U412" s="961"/>
      <c r="V412" s="963"/>
      <c r="W412" s="963"/>
      <c r="X412" s="963"/>
    </row>
    <row r="413" spans="1:24" s="837" customFormat="1" ht="37.5">
      <c r="A413" s="959" t="s">
        <v>2469</v>
      </c>
      <c r="B413" s="964" t="s">
        <v>2144</v>
      </c>
      <c r="C413" s="961"/>
      <c r="D413" s="961"/>
      <c r="E413" s="961"/>
      <c r="F413" s="961"/>
      <c r="G413" s="961"/>
      <c r="H413" s="961"/>
      <c r="I413" s="961"/>
      <c r="J413" s="944">
        <v>332.61799999999999</v>
      </c>
      <c r="K413" s="961"/>
      <c r="L413" s="961">
        <v>332.61799999999999</v>
      </c>
      <c r="M413" s="961"/>
      <c r="N413" s="961"/>
      <c r="O413" s="961">
        <v>0</v>
      </c>
      <c r="P413" s="962"/>
      <c r="Q413" s="962"/>
      <c r="R413" s="961"/>
      <c r="S413" s="961"/>
      <c r="T413" s="961"/>
      <c r="U413" s="961"/>
      <c r="V413" s="963"/>
      <c r="W413" s="963"/>
      <c r="X413" s="963"/>
    </row>
    <row r="414" spans="1:24" s="837" customFormat="1">
      <c r="A414" s="959" t="s">
        <v>2515</v>
      </c>
      <c r="B414" s="964" t="s">
        <v>2516</v>
      </c>
      <c r="C414" s="961"/>
      <c r="D414" s="961"/>
      <c r="E414" s="961"/>
      <c r="F414" s="961"/>
      <c r="G414" s="961"/>
      <c r="H414" s="961"/>
      <c r="I414" s="961"/>
      <c r="J414" s="944">
        <v>1152.1603909999999</v>
      </c>
      <c r="K414" s="961"/>
      <c r="L414" s="961">
        <v>1152.1603909999999</v>
      </c>
      <c r="M414" s="961"/>
      <c r="N414" s="961"/>
      <c r="O414" s="961">
        <v>0</v>
      </c>
      <c r="P414" s="962"/>
      <c r="Q414" s="962"/>
      <c r="R414" s="961"/>
      <c r="S414" s="961"/>
      <c r="T414" s="961"/>
      <c r="U414" s="961"/>
      <c r="V414" s="963"/>
      <c r="W414" s="963"/>
      <c r="X414" s="963"/>
    </row>
    <row r="415" spans="1:24" s="837" customFormat="1" ht="37.5">
      <c r="A415" s="959" t="s">
        <v>2469</v>
      </c>
      <c r="B415" s="964" t="s">
        <v>2145</v>
      </c>
      <c r="C415" s="961"/>
      <c r="D415" s="961"/>
      <c r="E415" s="961"/>
      <c r="F415" s="961"/>
      <c r="G415" s="961"/>
      <c r="H415" s="961"/>
      <c r="I415" s="961"/>
      <c r="J415" s="944">
        <v>1152.1603909999999</v>
      </c>
      <c r="K415" s="961"/>
      <c r="L415" s="961">
        <v>1152.1603909999999</v>
      </c>
      <c r="M415" s="961"/>
      <c r="N415" s="961"/>
      <c r="O415" s="961">
        <v>0</v>
      </c>
      <c r="P415" s="962"/>
      <c r="Q415" s="962"/>
      <c r="R415" s="961"/>
      <c r="S415" s="961"/>
      <c r="T415" s="961"/>
      <c r="U415" s="961"/>
      <c r="V415" s="963"/>
      <c r="W415" s="963"/>
      <c r="X415" s="963"/>
    </row>
    <row r="416" spans="1:24" s="837" customFormat="1">
      <c r="A416" s="959" t="s">
        <v>2517</v>
      </c>
      <c r="B416" s="964" t="s">
        <v>2518</v>
      </c>
      <c r="C416" s="961"/>
      <c r="D416" s="961"/>
      <c r="E416" s="961"/>
      <c r="F416" s="961"/>
      <c r="G416" s="961"/>
      <c r="H416" s="961"/>
      <c r="I416" s="961"/>
      <c r="J416" s="944">
        <v>42883.368000000002</v>
      </c>
      <c r="K416" s="961"/>
      <c r="L416" s="961">
        <v>42883.368000000002</v>
      </c>
      <c r="M416" s="961"/>
      <c r="N416" s="961"/>
      <c r="O416" s="961">
        <v>0</v>
      </c>
      <c r="P416" s="962"/>
      <c r="Q416" s="962"/>
      <c r="R416" s="961"/>
      <c r="S416" s="961"/>
      <c r="T416" s="961"/>
      <c r="U416" s="961"/>
      <c r="V416" s="963"/>
      <c r="W416" s="963"/>
      <c r="X416" s="963"/>
    </row>
    <row r="417" spans="1:24" s="837" customFormat="1" ht="56.25">
      <c r="A417" s="959" t="s">
        <v>2469</v>
      </c>
      <c r="B417" s="964" t="s">
        <v>2257</v>
      </c>
      <c r="C417" s="961"/>
      <c r="D417" s="961"/>
      <c r="E417" s="961"/>
      <c r="F417" s="961"/>
      <c r="G417" s="961"/>
      <c r="H417" s="961"/>
      <c r="I417" s="961"/>
      <c r="J417" s="944">
        <v>42883.368000000002</v>
      </c>
      <c r="K417" s="961"/>
      <c r="L417" s="961">
        <v>42883.368000000002</v>
      </c>
      <c r="M417" s="961"/>
      <c r="N417" s="961"/>
      <c r="O417" s="961">
        <v>0</v>
      </c>
      <c r="P417" s="962"/>
      <c r="Q417" s="962"/>
      <c r="R417" s="961"/>
      <c r="S417" s="961"/>
      <c r="T417" s="961"/>
      <c r="U417" s="961"/>
      <c r="V417" s="963"/>
      <c r="W417" s="963"/>
      <c r="X417" s="963"/>
    </row>
    <row r="418" spans="1:24" s="837" customFormat="1">
      <c r="A418" s="959" t="s">
        <v>2519</v>
      </c>
      <c r="B418" s="964" t="s">
        <v>2520</v>
      </c>
      <c r="C418" s="961"/>
      <c r="D418" s="961"/>
      <c r="E418" s="961"/>
      <c r="F418" s="961"/>
      <c r="G418" s="961"/>
      <c r="H418" s="961"/>
      <c r="I418" s="961"/>
      <c r="J418" s="944">
        <v>479797.526151</v>
      </c>
      <c r="K418" s="961"/>
      <c r="L418" s="961">
        <v>479797.526151</v>
      </c>
      <c r="M418" s="961"/>
      <c r="N418" s="961"/>
      <c r="O418" s="961">
        <v>0</v>
      </c>
      <c r="P418" s="962"/>
      <c r="Q418" s="962"/>
      <c r="R418" s="961"/>
      <c r="S418" s="961"/>
      <c r="T418" s="961"/>
      <c r="U418" s="961"/>
      <c r="V418" s="963"/>
      <c r="W418" s="963"/>
      <c r="X418" s="963"/>
    </row>
    <row r="419" spans="1:24" s="837" customFormat="1" ht="37.5">
      <c r="A419" s="959" t="s">
        <v>2469</v>
      </c>
      <c r="B419" s="964" t="s">
        <v>2146</v>
      </c>
      <c r="C419" s="961"/>
      <c r="D419" s="961"/>
      <c r="E419" s="961"/>
      <c r="F419" s="961"/>
      <c r="G419" s="961"/>
      <c r="H419" s="961"/>
      <c r="I419" s="961"/>
      <c r="J419" s="944">
        <v>782</v>
      </c>
      <c r="K419" s="961"/>
      <c r="L419" s="961">
        <v>782</v>
      </c>
      <c r="M419" s="961"/>
      <c r="N419" s="961"/>
      <c r="O419" s="961">
        <v>0</v>
      </c>
      <c r="P419" s="962"/>
      <c r="Q419" s="962"/>
      <c r="R419" s="961"/>
      <c r="S419" s="961"/>
      <c r="T419" s="961"/>
      <c r="U419" s="961"/>
      <c r="V419" s="963"/>
      <c r="W419" s="963"/>
      <c r="X419" s="963"/>
    </row>
    <row r="420" spans="1:24" s="837" customFormat="1" ht="37.5">
      <c r="A420" s="959" t="s">
        <v>2469</v>
      </c>
      <c r="B420" s="964" t="s">
        <v>2521</v>
      </c>
      <c r="C420" s="961"/>
      <c r="D420" s="961"/>
      <c r="E420" s="961"/>
      <c r="F420" s="961"/>
      <c r="G420" s="961"/>
      <c r="H420" s="961"/>
      <c r="I420" s="961"/>
      <c r="J420" s="944">
        <v>68546.323999999993</v>
      </c>
      <c r="K420" s="961"/>
      <c r="L420" s="961">
        <v>68546.323999999993</v>
      </c>
      <c r="M420" s="961"/>
      <c r="N420" s="961"/>
      <c r="O420" s="961">
        <v>0</v>
      </c>
      <c r="P420" s="962"/>
      <c r="Q420" s="962"/>
      <c r="R420" s="961"/>
      <c r="S420" s="961"/>
      <c r="T420" s="961"/>
      <c r="U420" s="961"/>
      <c r="V420" s="963"/>
      <c r="W420" s="963"/>
      <c r="X420" s="963"/>
    </row>
    <row r="421" spans="1:24" s="837" customFormat="1">
      <c r="A421" s="959" t="s">
        <v>2469</v>
      </c>
      <c r="B421" s="964" t="s">
        <v>2147</v>
      </c>
      <c r="C421" s="961"/>
      <c r="D421" s="961"/>
      <c r="E421" s="961"/>
      <c r="F421" s="961"/>
      <c r="G421" s="961"/>
      <c r="H421" s="961"/>
      <c r="I421" s="961"/>
      <c r="J421" s="944">
        <v>2574</v>
      </c>
      <c r="K421" s="961"/>
      <c r="L421" s="961">
        <v>2574</v>
      </c>
      <c r="M421" s="961"/>
      <c r="N421" s="961"/>
      <c r="O421" s="961">
        <v>0</v>
      </c>
      <c r="P421" s="962"/>
      <c r="Q421" s="962"/>
      <c r="R421" s="961"/>
      <c r="S421" s="961"/>
      <c r="T421" s="961"/>
      <c r="U421" s="961"/>
      <c r="V421" s="963"/>
      <c r="W421" s="963"/>
      <c r="X421" s="963"/>
    </row>
    <row r="422" spans="1:24" s="837" customFormat="1">
      <c r="A422" s="959" t="s">
        <v>2469</v>
      </c>
      <c r="B422" s="964" t="s">
        <v>2148</v>
      </c>
      <c r="C422" s="961"/>
      <c r="D422" s="961"/>
      <c r="E422" s="961"/>
      <c r="F422" s="961"/>
      <c r="G422" s="961"/>
      <c r="H422" s="961"/>
      <c r="I422" s="961"/>
      <c r="J422" s="944">
        <v>10349.617797999999</v>
      </c>
      <c r="K422" s="961"/>
      <c r="L422" s="961">
        <v>10349.617797999999</v>
      </c>
      <c r="M422" s="961"/>
      <c r="N422" s="961"/>
      <c r="O422" s="961">
        <v>0</v>
      </c>
      <c r="P422" s="962"/>
      <c r="Q422" s="962"/>
      <c r="R422" s="961"/>
      <c r="S422" s="961"/>
      <c r="T422" s="961"/>
      <c r="U422" s="961"/>
      <c r="V422" s="963"/>
      <c r="W422" s="963"/>
      <c r="X422" s="963"/>
    </row>
    <row r="423" spans="1:24" s="837" customFormat="1" ht="37.5">
      <c r="A423" s="959" t="s">
        <v>2469</v>
      </c>
      <c r="B423" s="964" t="s">
        <v>2522</v>
      </c>
      <c r="C423" s="961"/>
      <c r="D423" s="961"/>
      <c r="E423" s="961"/>
      <c r="F423" s="961"/>
      <c r="G423" s="961"/>
      <c r="H423" s="961"/>
      <c r="I423" s="961"/>
      <c r="J423" s="944">
        <v>491.15300000000002</v>
      </c>
      <c r="K423" s="961"/>
      <c r="L423" s="961">
        <v>491.15300000000002</v>
      </c>
      <c r="M423" s="961"/>
      <c r="N423" s="961"/>
      <c r="O423" s="961">
        <v>0</v>
      </c>
      <c r="P423" s="962"/>
      <c r="Q423" s="962"/>
      <c r="R423" s="961"/>
      <c r="S423" s="961"/>
      <c r="T423" s="961"/>
      <c r="U423" s="961"/>
      <c r="V423" s="963"/>
      <c r="W423" s="963"/>
      <c r="X423" s="963"/>
    </row>
    <row r="424" spans="1:24" s="837" customFormat="1" ht="37.5">
      <c r="A424" s="959" t="s">
        <v>2469</v>
      </c>
      <c r="B424" s="964" t="s">
        <v>2149</v>
      </c>
      <c r="C424" s="961"/>
      <c r="D424" s="961"/>
      <c r="E424" s="961"/>
      <c r="F424" s="961"/>
      <c r="G424" s="961"/>
      <c r="H424" s="961"/>
      <c r="I424" s="961"/>
      <c r="J424" s="944">
        <v>6032.7522840000001</v>
      </c>
      <c r="K424" s="961"/>
      <c r="L424" s="961">
        <v>6032.7522840000001</v>
      </c>
      <c r="M424" s="961"/>
      <c r="N424" s="961"/>
      <c r="O424" s="961">
        <v>0</v>
      </c>
      <c r="P424" s="962"/>
      <c r="Q424" s="962"/>
      <c r="R424" s="961"/>
      <c r="S424" s="961"/>
      <c r="T424" s="961"/>
      <c r="U424" s="961"/>
      <c r="V424" s="963"/>
      <c r="W424" s="963"/>
      <c r="X424" s="963"/>
    </row>
    <row r="425" spans="1:24" s="837" customFormat="1" ht="37.5">
      <c r="A425" s="959" t="s">
        <v>2469</v>
      </c>
      <c r="B425" s="964" t="s">
        <v>2150</v>
      </c>
      <c r="C425" s="961"/>
      <c r="D425" s="961"/>
      <c r="E425" s="961"/>
      <c r="F425" s="961"/>
      <c r="G425" s="961"/>
      <c r="H425" s="961"/>
      <c r="I425" s="961"/>
      <c r="J425" s="944">
        <v>2026.5878640000001</v>
      </c>
      <c r="K425" s="961"/>
      <c r="L425" s="961">
        <v>2026.5878640000001</v>
      </c>
      <c r="M425" s="961"/>
      <c r="N425" s="961"/>
      <c r="O425" s="961">
        <v>0</v>
      </c>
      <c r="P425" s="962"/>
      <c r="Q425" s="962"/>
      <c r="R425" s="961"/>
      <c r="S425" s="961"/>
      <c r="T425" s="961"/>
      <c r="U425" s="961"/>
      <c r="V425" s="963"/>
      <c r="W425" s="963"/>
      <c r="X425" s="963"/>
    </row>
    <row r="426" spans="1:24" s="837" customFormat="1">
      <c r="A426" s="959" t="s">
        <v>2469</v>
      </c>
      <c r="B426" s="964" t="s">
        <v>2151</v>
      </c>
      <c r="C426" s="961"/>
      <c r="D426" s="961"/>
      <c r="E426" s="961"/>
      <c r="F426" s="961"/>
      <c r="G426" s="961"/>
      <c r="H426" s="961"/>
      <c r="I426" s="961"/>
      <c r="J426" s="944">
        <v>18627.036800000002</v>
      </c>
      <c r="K426" s="961"/>
      <c r="L426" s="961">
        <v>18627.036800000002</v>
      </c>
      <c r="M426" s="961"/>
      <c r="N426" s="961"/>
      <c r="O426" s="961">
        <v>0</v>
      </c>
      <c r="P426" s="962"/>
      <c r="Q426" s="962"/>
      <c r="R426" s="961"/>
      <c r="S426" s="961"/>
      <c r="T426" s="961"/>
      <c r="U426" s="961"/>
      <c r="V426" s="963"/>
      <c r="W426" s="963"/>
      <c r="X426" s="963"/>
    </row>
    <row r="427" spans="1:24" s="837" customFormat="1">
      <c r="A427" s="959" t="s">
        <v>2469</v>
      </c>
      <c r="B427" s="964" t="s">
        <v>2477</v>
      </c>
      <c r="C427" s="961"/>
      <c r="D427" s="961"/>
      <c r="E427" s="961"/>
      <c r="F427" s="961"/>
      <c r="G427" s="961"/>
      <c r="H427" s="961"/>
      <c r="I427" s="961"/>
      <c r="J427" s="944">
        <v>96609.251126999996</v>
      </c>
      <c r="K427" s="961"/>
      <c r="L427" s="961">
        <v>96609.251126999996</v>
      </c>
      <c r="M427" s="961"/>
      <c r="N427" s="961"/>
      <c r="O427" s="961">
        <v>0</v>
      </c>
      <c r="P427" s="962"/>
      <c r="Q427" s="962"/>
      <c r="R427" s="961"/>
      <c r="S427" s="961"/>
      <c r="T427" s="961"/>
      <c r="U427" s="961"/>
      <c r="V427" s="963"/>
      <c r="W427" s="963"/>
      <c r="X427" s="963"/>
    </row>
    <row r="428" spans="1:24" s="837" customFormat="1" ht="37.5">
      <c r="A428" s="959" t="s">
        <v>2469</v>
      </c>
      <c r="B428" s="964" t="s">
        <v>2152</v>
      </c>
      <c r="C428" s="961"/>
      <c r="D428" s="961"/>
      <c r="E428" s="961"/>
      <c r="F428" s="961"/>
      <c r="G428" s="961"/>
      <c r="H428" s="961"/>
      <c r="I428" s="961"/>
      <c r="J428" s="944">
        <v>929.26</v>
      </c>
      <c r="K428" s="961"/>
      <c r="L428" s="961">
        <v>929.26</v>
      </c>
      <c r="M428" s="961"/>
      <c r="N428" s="961"/>
      <c r="O428" s="961">
        <v>0</v>
      </c>
      <c r="P428" s="962"/>
      <c r="Q428" s="962"/>
      <c r="R428" s="961"/>
      <c r="S428" s="961"/>
      <c r="T428" s="961"/>
      <c r="U428" s="961"/>
      <c r="V428" s="963"/>
      <c r="W428" s="963"/>
      <c r="X428" s="963"/>
    </row>
    <row r="429" spans="1:24" s="837" customFormat="1" ht="37.5">
      <c r="A429" s="959" t="s">
        <v>2469</v>
      </c>
      <c r="B429" s="964" t="s">
        <v>2154</v>
      </c>
      <c r="C429" s="961"/>
      <c r="D429" s="961"/>
      <c r="E429" s="961"/>
      <c r="F429" s="961"/>
      <c r="G429" s="961"/>
      <c r="H429" s="961"/>
      <c r="I429" s="961"/>
      <c r="J429" s="944">
        <v>209965.77079099999</v>
      </c>
      <c r="K429" s="961"/>
      <c r="L429" s="961">
        <v>209965.77079099999</v>
      </c>
      <c r="M429" s="961"/>
      <c r="N429" s="961"/>
      <c r="O429" s="961">
        <v>0</v>
      </c>
      <c r="P429" s="962"/>
      <c r="Q429" s="962"/>
      <c r="R429" s="961"/>
      <c r="S429" s="961"/>
      <c r="T429" s="961"/>
      <c r="U429" s="961"/>
      <c r="V429" s="963"/>
      <c r="W429" s="963"/>
      <c r="X429" s="963"/>
    </row>
    <row r="430" spans="1:24" s="837" customFormat="1" ht="37.5">
      <c r="A430" s="959" t="s">
        <v>2469</v>
      </c>
      <c r="B430" s="964" t="s">
        <v>2155</v>
      </c>
      <c r="C430" s="961"/>
      <c r="D430" s="961"/>
      <c r="E430" s="961"/>
      <c r="F430" s="961"/>
      <c r="G430" s="961"/>
      <c r="H430" s="961"/>
      <c r="I430" s="961"/>
      <c r="J430" s="944">
        <v>300</v>
      </c>
      <c r="K430" s="961"/>
      <c r="L430" s="961">
        <v>300</v>
      </c>
      <c r="M430" s="961"/>
      <c r="N430" s="961"/>
      <c r="O430" s="961">
        <v>0</v>
      </c>
      <c r="P430" s="962"/>
      <c r="Q430" s="962"/>
      <c r="R430" s="961"/>
      <c r="S430" s="961"/>
      <c r="T430" s="961"/>
      <c r="U430" s="961"/>
      <c r="V430" s="963"/>
      <c r="W430" s="963"/>
      <c r="X430" s="963"/>
    </row>
    <row r="431" spans="1:24" s="837" customFormat="1" ht="37.5">
      <c r="A431" s="959" t="s">
        <v>2469</v>
      </c>
      <c r="B431" s="964" t="s">
        <v>2258</v>
      </c>
      <c r="C431" s="961"/>
      <c r="D431" s="961"/>
      <c r="E431" s="961"/>
      <c r="F431" s="961"/>
      <c r="G431" s="961"/>
      <c r="H431" s="961"/>
      <c r="I431" s="961"/>
      <c r="J431" s="944">
        <v>166.5</v>
      </c>
      <c r="K431" s="961"/>
      <c r="L431" s="961">
        <v>166.5</v>
      </c>
      <c r="M431" s="961"/>
      <c r="N431" s="961"/>
      <c r="O431" s="961">
        <v>0</v>
      </c>
      <c r="P431" s="962"/>
      <c r="Q431" s="962"/>
      <c r="R431" s="961"/>
      <c r="S431" s="961"/>
      <c r="T431" s="961"/>
      <c r="U431" s="961"/>
      <c r="V431" s="963"/>
      <c r="W431" s="963"/>
      <c r="X431" s="963"/>
    </row>
    <row r="432" spans="1:24" s="837" customFormat="1" ht="37.5">
      <c r="A432" s="959" t="s">
        <v>2469</v>
      </c>
      <c r="B432" s="964" t="s">
        <v>2156</v>
      </c>
      <c r="C432" s="961"/>
      <c r="D432" s="961"/>
      <c r="E432" s="961"/>
      <c r="F432" s="961"/>
      <c r="G432" s="961"/>
      <c r="H432" s="961"/>
      <c r="I432" s="961"/>
      <c r="J432" s="944">
        <v>17317.56582</v>
      </c>
      <c r="K432" s="961"/>
      <c r="L432" s="961">
        <v>17317.56582</v>
      </c>
      <c r="M432" s="961"/>
      <c r="N432" s="961"/>
      <c r="O432" s="961">
        <v>0</v>
      </c>
      <c r="P432" s="962"/>
      <c r="Q432" s="962"/>
      <c r="R432" s="961"/>
      <c r="S432" s="961"/>
      <c r="T432" s="961"/>
      <c r="U432" s="961"/>
      <c r="V432" s="963"/>
      <c r="W432" s="963"/>
      <c r="X432" s="963"/>
    </row>
    <row r="433" spans="1:24" s="837" customFormat="1" ht="37.5">
      <c r="A433" s="959" t="s">
        <v>2469</v>
      </c>
      <c r="B433" s="964" t="s">
        <v>2165</v>
      </c>
      <c r="C433" s="961"/>
      <c r="D433" s="961"/>
      <c r="E433" s="961"/>
      <c r="F433" s="961"/>
      <c r="G433" s="961"/>
      <c r="H433" s="961"/>
      <c r="I433" s="961"/>
      <c r="J433" s="944">
        <v>7039.57</v>
      </c>
      <c r="K433" s="961"/>
      <c r="L433" s="961">
        <v>7039.57</v>
      </c>
      <c r="M433" s="961"/>
      <c r="N433" s="961"/>
      <c r="O433" s="961">
        <v>0</v>
      </c>
      <c r="P433" s="962"/>
      <c r="Q433" s="962"/>
      <c r="R433" s="961"/>
      <c r="S433" s="961"/>
      <c r="T433" s="961"/>
      <c r="U433" s="961"/>
      <c r="V433" s="963"/>
      <c r="W433" s="963"/>
      <c r="X433" s="963"/>
    </row>
    <row r="434" spans="1:24" s="837" customFormat="1" ht="56.25">
      <c r="A434" s="959" t="s">
        <v>2469</v>
      </c>
      <c r="B434" s="964" t="s">
        <v>2168</v>
      </c>
      <c r="C434" s="961"/>
      <c r="D434" s="961"/>
      <c r="E434" s="961"/>
      <c r="F434" s="961"/>
      <c r="G434" s="961"/>
      <c r="H434" s="961"/>
      <c r="I434" s="961"/>
      <c r="J434" s="944">
        <v>429.61076000000003</v>
      </c>
      <c r="K434" s="961"/>
      <c r="L434" s="961">
        <v>429.61076000000003</v>
      </c>
      <c r="M434" s="961"/>
      <c r="N434" s="961"/>
      <c r="O434" s="961">
        <v>0</v>
      </c>
      <c r="P434" s="962"/>
      <c r="Q434" s="962"/>
      <c r="R434" s="961"/>
      <c r="S434" s="961"/>
      <c r="T434" s="961"/>
      <c r="U434" s="961"/>
      <c r="V434" s="963"/>
      <c r="W434" s="963"/>
      <c r="X434" s="963"/>
    </row>
    <row r="435" spans="1:24" s="837" customFormat="1" ht="56.25">
      <c r="A435" s="959" t="s">
        <v>2469</v>
      </c>
      <c r="B435" s="964" t="s">
        <v>2169</v>
      </c>
      <c r="C435" s="961"/>
      <c r="D435" s="961"/>
      <c r="E435" s="961"/>
      <c r="F435" s="961"/>
      <c r="G435" s="961"/>
      <c r="H435" s="961"/>
      <c r="I435" s="961"/>
      <c r="J435" s="944">
        <v>4708.7369879999997</v>
      </c>
      <c r="K435" s="961"/>
      <c r="L435" s="961">
        <v>4708.7369879999997</v>
      </c>
      <c r="M435" s="961"/>
      <c r="N435" s="961"/>
      <c r="O435" s="961">
        <v>0</v>
      </c>
      <c r="P435" s="962"/>
      <c r="Q435" s="962"/>
      <c r="R435" s="961"/>
      <c r="S435" s="961"/>
      <c r="T435" s="961"/>
      <c r="U435" s="961"/>
      <c r="V435" s="963"/>
      <c r="W435" s="963"/>
      <c r="X435" s="963"/>
    </row>
    <row r="436" spans="1:24" s="837" customFormat="1" ht="37.5">
      <c r="A436" s="959" t="s">
        <v>2469</v>
      </c>
      <c r="B436" s="964" t="s">
        <v>2170</v>
      </c>
      <c r="C436" s="961"/>
      <c r="D436" s="961"/>
      <c r="E436" s="961"/>
      <c r="F436" s="961"/>
      <c r="G436" s="961"/>
      <c r="H436" s="961"/>
      <c r="I436" s="961"/>
      <c r="J436" s="944">
        <v>456</v>
      </c>
      <c r="K436" s="961"/>
      <c r="L436" s="961">
        <v>456</v>
      </c>
      <c r="M436" s="961"/>
      <c r="N436" s="961"/>
      <c r="O436" s="961">
        <v>0</v>
      </c>
      <c r="P436" s="962"/>
      <c r="Q436" s="962"/>
      <c r="R436" s="961"/>
      <c r="S436" s="961"/>
      <c r="T436" s="961"/>
      <c r="U436" s="961"/>
      <c r="V436" s="963"/>
      <c r="W436" s="963"/>
      <c r="X436" s="963"/>
    </row>
    <row r="437" spans="1:24" s="837" customFormat="1" ht="37.5">
      <c r="A437" s="959" t="s">
        <v>2469</v>
      </c>
      <c r="B437" s="964" t="s">
        <v>2171</v>
      </c>
      <c r="C437" s="961"/>
      <c r="D437" s="961"/>
      <c r="E437" s="961"/>
      <c r="F437" s="961"/>
      <c r="G437" s="961"/>
      <c r="H437" s="961"/>
      <c r="I437" s="961"/>
      <c r="J437" s="944">
        <v>6602.4475000000002</v>
      </c>
      <c r="K437" s="961"/>
      <c r="L437" s="961">
        <v>6602.4475000000002</v>
      </c>
      <c r="M437" s="961"/>
      <c r="N437" s="961"/>
      <c r="O437" s="961">
        <v>0</v>
      </c>
      <c r="P437" s="962"/>
      <c r="Q437" s="962"/>
      <c r="R437" s="961"/>
      <c r="S437" s="961"/>
      <c r="T437" s="961"/>
      <c r="U437" s="961"/>
      <c r="V437" s="963"/>
      <c r="W437" s="963"/>
      <c r="X437" s="963"/>
    </row>
    <row r="438" spans="1:24" s="837" customFormat="1" ht="37.5">
      <c r="A438" s="959" t="s">
        <v>2469</v>
      </c>
      <c r="B438" s="964" t="s">
        <v>2172</v>
      </c>
      <c r="C438" s="961"/>
      <c r="D438" s="961"/>
      <c r="E438" s="961"/>
      <c r="F438" s="961"/>
      <c r="G438" s="961"/>
      <c r="H438" s="961"/>
      <c r="I438" s="961"/>
      <c r="J438" s="944">
        <v>230.2</v>
      </c>
      <c r="K438" s="961"/>
      <c r="L438" s="961">
        <v>230.2</v>
      </c>
      <c r="M438" s="961"/>
      <c r="N438" s="961"/>
      <c r="O438" s="961">
        <v>0</v>
      </c>
      <c r="P438" s="962"/>
      <c r="Q438" s="962"/>
      <c r="R438" s="961"/>
      <c r="S438" s="961"/>
      <c r="T438" s="961"/>
      <c r="U438" s="961"/>
      <c r="V438" s="963"/>
      <c r="W438" s="963"/>
      <c r="X438" s="963"/>
    </row>
    <row r="439" spans="1:24" s="837" customFormat="1" ht="37.5">
      <c r="A439" s="959" t="s">
        <v>2469</v>
      </c>
      <c r="B439" s="964" t="s">
        <v>2173</v>
      </c>
      <c r="C439" s="961"/>
      <c r="D439" s="961"/>
      <c r="E439" s="961"/>
      <c r="F439" s="961"/>
      <c r="G439" s="961"/>
      <c r="H439" s="961"/>
      <c r="I439" s="961"/>
      <c r="J439" s="944">
        <v>18894.175583</v>
      </c>
      <c r="K439" s="961"/>
      <c r="L439" s="961">
        <v>18894.175583</v>
      </c>
      <c r="M439" s="961"/>
      <c r="N439" s="961"/>
      <c r="O439" s="961">
        <v>0</v>
      </c>
      <c r="P439" s="962"/>
      <c r="Q439" s="962"/>
      <c r="R439" s="961"/>
      <c r="S439" s="961"/>
      <c r="T439" s="961"/>
      <c r="U439" s="961"/>
      <c r="V439" s="963"/>
      <c r="W439" s="963"/>
      <c r="X439" s="963"/>
    </row>
    <row r="440" spans="1:24" s="837" customFormat="1" ht="37.5">
      <c r="A440" s="959" t="s">
        <v>2469</v>
      </c>
      <c r="B440" s="964" t="s">
        <v>2259</v>
      </c>
      <c r="C440" s="961"/>
      <c r="D440" s="961"/>
      <c r="E440" s="961"/>
      <c r="F440" s="961"/>
      <c r="G440" s="961"/>
      <c r="H440" s="961"/>
      <c r="I440" s="961"/>
      <c r="J440" s="944">
        <v>5447.6401999999998</v>
      </c>
      <c r="K440" s="961"/>
      <c r="L440" s="961">
        <v>5447.6401999999998</v>
      </c>
      <c r="M440" s="961"/>
      <c r="N440" s="961"/>
      <c r="O440" s="961">
        <v>0</v>
      </c>
      <c r="P440" s="962"/>
      <c r="Q440" s="962"/>
      <c r="R440" s="961"/>
      <c r="S440" s="961"/>
      <c r="T440" s="961"/>
      <c r="U440" s="961"/>
      <c r="V440" s="963"/>
      <c r="W440" s="963"/>
      <c r="X440" s="963"/>
    </row>
    <row r="441" spans="1:24" s="837" customFormat="1" ht="37.5">
      <c r="A441" s="959" t="s">
        <v>2469</v>
      </c>
      <c r="B441" s="964" t="s">
        <v>2174</v>
      </c>
      <c r="C441" s="961"/>
      <c r="D441" s="961"/>
      <c r="E441" s="961"/>
      <c r="F441" s="961"/>
      <c r="G441" s="961"/>
      <c r="H441" s="961"/>
      <c r="I441" s="961"/>
      <c r="J441" s="944">
        <v>442.61799999999999</v>
      </c>
      <c r="K441" s="961"/>
      <c r="L441" s="961">
        <v>442.61799999999999</v>
      </c>
      <c r="M441" s="961"/>
      <c r="N441" s="961"/>
      <c r="O441" s="961">
        <v>0</v>
      </c>
      <c r="P441" s="962"/>
      <c r="Q441" s="962"/>
      <c r="R441" s="961"/>
      <c r="S441" s="961"/>
      <c r="T441" s="961"/>
      <c r="U441" s="961"/>
      <c r="V441" s="963"/>
      <c r="W441" s="963"/>
      <c r="X441" s="963"/>
    </row>
    <row r="442" spans="1:24" s="837" customFormat="1" ht="37.5">
      <c r="A442" s="959" t="s">
        <v>2469</v>
      </c>
      <c r="B442" s="964" t="s">
        <v>2175</v>
      </c>
      <c r="C442" s="961"/>
      <c r="D442" s="961"/>
      <c r="E442" s="961"/>
      <c r="F442" s="961"/>
      <c r="G442" s="961"/>
      <c r="H442" s="961"/>
      <c r="I442" s="961"/>
      <c r="J442" s="944">
        <v>214.71799999999999</v>
      </c>
      <c r="K442" s="961"/>
      <c r="L442" s="961">
        <v>214.71799999999999</v>
      </c>
      <c r="M442" s="961"/>
      <c r="N442" s="961"/>
      <c r="O442" s="961">
        <v>0</v>
      </c>
      <c r="P442" s="962"/>
      <c r="Q442" s="962"/>
      <c r="R442" s="961"/>
      <c r="S442" s="961"/>
      <c r="T442" s="961"/>
      <c r="U442" s="961"/>
      <c r="V442" s="963"/>
      <c r="W442" s="963"/>
      <c r="X442" s="963"/>
    </row>
    <row r="443" spans="1:24" s="837" customFormat="1">
      <c r="A443" s="959" t="s">
        <v>2469</v>
      </c>
      <c r="B443" s="964" t="s">
        <v>2176</v>
      </c>
      <c r="C443" s="961"/>
      <c r="D443" s="961"/>
      <c r="E443" s="961"/>
      <c r="F443" s="961"/>
      <c r="G443" s="961"/>
      <c r="H443" s="961"/>
      <c r="I443" s="961"/>
      <c r="J443" s="944">
        <v>176.98963599999999</v>
      </c>
      <c r="K443" s="961"/>
      <c r="L443" s="961">
        <v>176.98963599999999</v>
      </c>
      <c r="M443" s="961"/>
      <c r="N443" s="961"/>
      <c r="O443" s="961">
        <v>0</v>
      </c>
      <c r="P443" s="962"/>
      <c r="Q443" s="962"/>
      <c r="R443" s="961"/>
      <c r="S443" s="961"/>
      <c r="T443" s="961"/>
      <c r="U443" s="961"/>
      <c r="V443" s="963"/>
      <c r="W443" s="963"/>
      <c r="X443" s="963"/>
    </row>
    <row r="444" spans="1:24" s="837" customFormat="1" ht="37.5">
      <c r="A444" s="959"/>
      <c r="B444" s="965" t="s">
        <v>1907</v>
      </c>
      <c r="C444" s="961"/>
      <c r="D444" s="961"/>
      <c r="E444" s="961"/>
      <c r="F444" s="961"/>
      <c r="G444" s="961"/>
      <c r="H444" s="961"/>
      <c r="I444" s="961"/>
      <c r="J444" s="944">
        <v>2715.1109999999999</v>
      </c>
      <c r="K444" s="961"/>
      <c r="L444" s="961"/>
      <c r="M444" s="961"/>
      <c r="N444" s="961"/>
      <c r="O444" s="961">
        <v>2715.1109999999999</v>
      </c>
      <c r="P444" s="962">
        <v>2715.1109999999999</v>
      </c>
      <c r="Q444" s="962"/>
      <c r="R444" s="961"/>
      <c r="S444" s="961"/>
      <c r="T444" s="961"/>
      <c r="U444" s="961"/>
      <c r="V444" s="963"/>
      <c r="W444" s="963"/>
      <c r="X444" s="963"/>
    </row>
    <row r="445" spans="1:24" s="837" customFormat="1" ht="75">
      <c r="A445" s="959"/>
      <c r="B445" s="965" t="s">
        <v>2459</v>
      </c>
      <c r="C445" s="961"/>
      <c r="D445" s="961"/>
      <c r="E445" s="961"/>
      <c r="F445" s="961"/>
      <c r="G445" s="961"/>
      <c r="H445" s="961"/>
      <c r="I445" s="961"/>
      <c r="J445" s="944">
        <v>498.45</v>
      </c>
      <c r="K445" s="961"/>
      <c r="L445" s="961"/>
      <c r="M445" s="961"/>
      <c r="N445" s="961"/>
      <c r="O445" s="961">
        <v>498.45</v>
      </c>
      <c r="P445" s="962">
        <v>498.45</v>
      </c>
      <c r="Q445" s="962"/>
      <c r="R445" s="961"/>
      <c r="S445" s="961"/>
      <c r="T445" s="961"/>
      <c r="U445" s="961"/>
      <c r="V445" s="963"/>
      <c r="W445" s="963"/>
      <c r="X445" s="963"/>
    </row>
    <row r="446" spans="1:24" s="837" customFormat="1" ht="150">
      <c r="A446" s="959"/>
      <c r="B446" s="965" t="s">
        <v>2460</v>
      </c>
      <c r="C446" s="961"/>
      <c r="D446" s="961"/>
      <c r="E446" s="961"/>
      <c r="F446" s="961"/>
      <c r="G446" s="961"/>
      <c r="H446" s="961"/>
      <c r="I446" s="961"/>
      <c r="J446" s="944">
        <v>374.89699999999999</v>
      </c>
      <c r="K446" s="961"/>
      <c r="L446" s="961"/>
      <c r="M446" s="961"/>
      <c r="N446" s="961"/>
      <c r="O446" s="961">
        <v>374.89699999999999</v>
      </c>
      <c r="P446" s="962">
        <v>374.89699999999999</v>
      </c>
      <c r="Q446" s="962"/>
      <c r="R446" s="961"/>
      <c r="S446" s="961"/>
      <c r="T446" s="961"/>
      <c r="U446" s="961"/>
      <c r="V446" s="963"/>
      <c r="W446" s="963"/>
      <c r="X446" s="963"/>
    </row>
    <row r="447" spans="1:24" s="837" customFormat="1" ht="93.75">
      <c r="A447" s="959"/>
      <c r="B447" s="965" t="s">
        <v>2461</v>
      </c>
      <c r="C447" s="961"/>
      <c r="D447" s="961"/>
      <c r="E447" s="961"/>
      <c r="F447" s="961"/>
      <c r="G447" s="961"/>
      <c r="H447" s="961"/>
      <c r="I447" s="961"/>
      <c r="J447" s="944">
        <v>120</v>
      </c>
      <c r="K447" s="961"/>
      <c r="L447" s="961"/>
      <c r="M447" s="961"/>
      <c r="N447" s="961"/>
      <c r="O447" s="961">
        <v>120</v>
      </c>
      <c r="P447" s="962">
        <v>120</v>
      </c>
      <c r="Q447" s="962"/>
      <c r="R447" s="961"/>
      <c r="S447" s="961"/>
      <c r="T447" s="961"/>
      <c r="U447" s="961"/>
      <c r="V447" s="963"/>
      <c r="W447" s="963"/>
      <c r="X447" s="963"/>
    </row>
    <row r="448" spans="1:24" s="837" customFormat="1">
      <c r="A448" s="959"/>
      <c r="B448" s="964" t="s">
        <v>2475</v>
      </c>
      <c r="C448" s="961"/>
      <c r="D448" s="961"/>
      <c r="E448" s="961"/>
      <c r="F448" s="961"/>
      <c r="G448" s="961"/>
      <c r="H448" s="961"/>
      <c r="I448" s="961"/>
      <c r="J448" s="944">
        <v>383.13717500000001</v>
      </c>
      <c r="K448" s="961"/>
      <c r="L448" s="961">
        <v>0</v>
      </c>
      <c r="M448" s="961"/>
      <c r="N448" s="961"/>
      <c r="O448" s="961">
        <v>383.13717500000001</v>
      </c>
      <c r="P448" s="962"/>
      <c r="Q448" s="962">
        <v>383.13717500000001</v>
      </c>
      <c r="R448" s="961"/>
      <c r="S448" s="961"/>
      <c r="T448" s="961"/>
      <c r="U448" s="961"/>
      <c r="V448" s="963"/>
      <c r="W448" s="963"/>
      <c r="X448" s="963"/>
    </row>
    <row r="449" spans="1:24" s="837" customFormat="1" ht="37.5">
      <c r="A449" s="959"/>
      <c r="B449" s="964" t="s">
        <v>1989</v>
      </c>
      <c r="C449" s="961"/>
      <c r="D449" s="961"/>
      <c r="E449" s="961"/>
      <c r="F449" s="961"/>
      <c r="G449" s="961"/>
      <c r="H449" s="961"/>
      <c r="I449" s="961"/>
      <c r="J449" s="944">
        <v>80</v>
      </c>
      <c r="K449" s="961"/>
      <c r="L449" s="961">
        <v>0</v>
      </c>
      <c r="M449" s="961"/>
      <c r="N449" s="961"/>
      <c r="O449" s="961">
        <v>80</v>
      </c>
      <c r="P449" s="962"/>
      <c r="Q449" s="962">
        <v>80</v>
      </c>
      <c r="R449" s="961"/>
      <c r="S449" s="961"/>
      <c r="T449" s="961"/>
      <c r="U449" s="961"/>
      <c r="V449" s="963"/>
      <c r="W449" s="963"/>
      <c r="X449" s="963"/>
    </row>
    <row r="450" spans="1:24" s="837" customFormat="1" ht="37.5">
      <c r="A450" s="959"/>
      <c r="B450" s="964" t="s">
        <v>1991</v>
      </c>
      <c r="C450" s="961"/>
      <c r="D450" s="961"/>
      <c r="E450" s="961"/>
      <c r="F450" s="961"/>
      <c r="G450" s="961"/>
      <c r="H450" s="961"/>
      <c r="I450" s="961"/>
      <c r="J450" s="944">
        <v>303.13717500000001</v>
      </c>
      <c r="K450" s="961"/>
      <c r="L450" s="961">
        <v>0</v>
      </c>
      <c r="M450" s="961"/>
      <c r="N450" s="961"/>
      <c r="O450" s="961">
        <v>303.13717500000001</v>
      </c>
      <c r="P450" s="962"/>
      <c r="Q450" s="962">
        <v>303.13717500000001</v>
      </c>
      <c r="R450" s="961"/>
      <c r="S450" s="961"/>
      <c r="T450" s="961"/>
      <c r="U450" s="961"/>
      <c r="V450" s="963"/>
      <c r="W450" s="963"/>
      <c r="X450" s="963"/>
    </row>
    <row r="451" spans="1:24" s="837" customFormat="1">
      <c r="A451" s="959"/>
      <c r="B451" s="964" t="s">
        <v>2245</v>
      </c>
      <c r="C451" s="961"/>
      <c r="D451" s="961"/>
      <c r="E451" s="961"/>
      <c r="F451" s="961"/>
      <c r="G451" s="961"/>
      <c r="H451" s="961"/>
      <c r="I451" s="961"/>
      <c r="J451" s="944">
        <v>26466.689387999999</v>
      </c>
      <c r="K451" s="961"/>
      <c r="L451" s="961">
        <v>0</v>
      </c>
      <c r="M451" s="961"/>
      <c r="N451" s="961"/>
      <c r="O451" s="961">
        <v>26466.689387999999</v>
      </c>
      <c r="P451" s="962"/>
      <c r="Q451" s="962">
        <v>26466.689387999999</v>
      </c>
      <c r="R451" s="961"/>
      <c r="S451" s="961"/>
      <c r="T451" s="961"/>
      <c r="U451" s="961"/>
      <c r="V451" s="963"/>
      <c r="W451" s="963"/>
      <c r="X451" s="963"/>
    </row>
    <row r="452" spans="1:24" s="837" customFormat="1" ht="37.5">
      <c r="A452" s="959"/>
      <c r="B452" s="964" t="s">
        <v>1994</v>
      </c>
      <c r="C452" s="961"/>
      <c r="D452" s="961"/>
      <c r="E452" s="961"/>
      <c r="F452" s="961"/>
      <c r="G452" s="961"/>
      <c r="H452" s="961"/>
      <c r="I452" s="961"/>
      <c r="J452" s="944">
        <v>5.4</v>
      </c>
      <c r="K452" s="961"/>
      <c r="L452" s="961">
        <v>0</v>
      </c>
      <c r="M452" s="961"/>
      <c r="N452" s="961"/>
      <c r="O452" s="961">
        <v>5.4</v>
      </c>
      <c r="P452" s="962"/>
      <c r="Q452" s="962">
        <v>5.4</v>
      </c>
      <c r="R452" s="961"/>
      <c r="S452" s="961"/>
      <c r="T452" s="961"/>
      <c r="U452" s="961"/>
      <c r="V452" s="963"/>
      <c r="W452" s="963"/>
      <c r="X452" s="963"/>
    </row>
    <row r="453" spans="1:24" s="837" customFormat="1" ht="37.5">
      <c r="A453" s="959"/>
      <c r="B453" s="964" t="s">
        <v>1996</v>
      </c>
      <c r="C453" s="961"/>
      <c r="D453" s="961"/>
      <c r="E453" s="961"/>
      <c r="F453" s="961"/>
      <c r="G453" s="961"/>
      <c r="H453" s="961"/>
      <c r="I453" s="961"/>
      <c r="J453" s="944">
        <v>347.42863999999997</v>
      </c>
      <c r="K453" s="961"/>
      <c r="L453" s="961">
        <v>0</v>
      </c>
      <c r="M453" s="961"/>
      <c r="N453" s="961"/>
      <c r="O453" s="961">
        <v>347.42863999999997</v>
      </c>
      <c r="P453" s="962"/>
      <c r="Q453" s="962">
        <v>347.42863999999997</v>
      </c>
      <c r="R453" s="961"/>
      <c r="S453" s="961"/>
      <c r="T453" s="961"/>
      <c r="U453" s="961"/>
      <c r="V453" s="963"/>
      <c r="W453" s="963"/>
      <c r="X453" s="963"/>
    </row>
    <row r="454" spans="1:24" s="837" customFormat="1" ht="37.5">
      <c r="A454" s="959"/>
      <c r="B454" s="964" t="s">
        <v>1993</v>
      </c>
      <c r="C454" s="961"/>
      <c r="D454" s="961"/>
      <c r="E454" s="961"/>
      <c r="F454" s="961"/>
      <c r="G454" s="961"/>
      <c r="H454" s="961"/>
      <c r="I454" s="961"/>
      <c r="J454" s="944">
        <v>150.493818</v>
      </c>
      <c r="K454" s="961"/>
      <c r="L454" s="961">
        <v>0</v>
      </c>
      <c r="M454" s="961"/>
      <c r="N454" s="961"/>
      <c r="O454" s="961">
        <v>150.493818</v>
      </c>
      <c r="P454" s="962"/>
      <c r="Q454" s="962">
        <v>150.493818</v>
      </c>
      <c r="R454" s="961"/>
      <c r="S454" s="961"/>
      <c r="T454" s="961"/>
      <c r="U454" s="961"/>
      <c r="V454" s="963"/>
      <c r="W454" s="963"/>
      <c r="X454" s="963"/>
    </row>
    <row r="455" spans="1:24" s="837" customFormat="1" ht="37.5">
      <c r="A455" s="959"/>
      <c r="B455" s="964" t="s">
        <v>1997</v>
      </c>
      <c r="C455" s="961"/>
      <c r="D455" s="961"/>
      <c r="E455" s="961"/>
      <c r="F455" s="961"/>
      <c r="G455" s="961"/>
      <c r="H455" s="961"/>
      <c r="I455" s="961"/>
      <c r="J455" s="944">
        <v>6003.05</v>
      </c>
      <c r="K455" s="961"/>
      <c r="L455" s="961">
        <v>0</v>
      </c>
      <c r="M455" s="961"/>
      <c r="N455" s="961"/>
      <c r="O455" s="961">
        <v>6003.05</v>
      </c>
      <c r="P455" s="962"/>
      <c r="Q455" s="962">
        <v>6003.05</v>
      </c>
      <c r="R455" s="961"/>
      <c r="S455" s="961"/>
      <c r="T455" s="961"/>
      <c r="U455" s="961"/>
      <c r="V455" s="963"/>
      <c r="W455" s="963"/>
      <c r="X455" s="963"/>
    </row>
    <row r="456" spans="1:24" s="837" customFormat="1" ht="37.5">
      <c r="A456" s="959"/>
      <c r="B456" s="964" t="s">
        <v>1999</v>
      </c>
      <c r="C456" s="961"/>
      <c r="D456" s="961"/>
      <c r="E456" s="961"/>
      <c r="F456" s="961"/>
      <c r="G456" s="961"/>
      <c r="H456" s="961"/>
      <c r="I456" s="961"/>
      <c r="J456" s="944">
        <v>7491</v>
      </c>
      <c r="K456" s="961"/>
      <c r="L456" s="961">
        <v>0</v>
      </c>
      <c r="M456" s="961"/>
      <c r="N456" s="961"/>
      <c r="O456" s="961">
        <v>7491</v>
      </c>
      <c r="P456" s="962"/>
      <c r="Q456" s="962">
        <v>7491</v>
      </c>
      <c r="R456" s="961"/>
      <c r="S456" s="961"/>
      <c r="T456" s="961"/>
      <c r="U456" s="961"/>
      <c r="V456" s="963"/>
      <c r="W456" s="963"/>
      <c r="X456" s="963"/>
    </row>
    <row r="457" spans="1:24" s="837" customFormat="1" ht="37.5">
      <c r="A457" s="959"/>
      <c r="B457" s="964" t="s">
        <v>2009</v>
      </c>
      <c r="C457" s="961"/>
      <c r="D457" s="961"/>
      <c r="E457" s="961"/>
      <c r="F457" s="961"/>
      <c r="G457" s="961"/>
      <c r="H457" s="961"/>
      <c r="I457" s="961"/>
      <c r="J457" s="944">
        <v>1327.94614</v>
      </c>
      <c r="K457" s="961"/>
      <c r="L457" s="961">
        <v>0</v>
      </c>
      <c r="M457" s="961"/>
      <c r="N457" s="961"/>
      <c r="O457" s="961">
        <v>1327.94614</v>
      </c>
      <c r="P457" s="962"/>
      <c r="Q457" s="962">
        <v>1327.94614</v>
      </c>
      <c r="R457" s="961"/>
      <c r="S457" s="961"/>
      <c r="T457" s="961"/>
      <c r="U457" s="961"/>
      <c r="V457" s="963"/>
      <c r="W457" s="963"/>
      <c r="X457" s="963"/>
    </row>
    <row r="458" spans="1:24" s="837" customFormat="1">
      <c r="A458" s="959"/>
      <c r="B458" s="964" t="s">
        <v>2477</v>
      </c>
      <c r="C458" s="961"/>
      <c r="D458" s="961"/>
      <c r="E458" s="961"/>
      <c r="F458" s="961"/>
      <c r="G458" s="961"/>
      <c r="H458" s="961"/>
      <c r="I458" s="961"/>
      <c r="J458" s="944">
        <v>2316</v>
      </c>
      <c r="K458" s="961"/>
      <c r="L458" s="961"/>
      <c r="M458" s="961"/>
      <c r="N458" s="961"/>
      <c r="O458" s="961">
        <v>2316</v>
      </c>
      <c r="P458" s="962"/>
      <c r="Q458" s="962">
        <v>2316</v>
      </c>
      <c r="R458" s="961"/>
      <c r="S458" s="961"/>
      <c r="T458" s="961"/>
      <c r="U458" s="961"/>
      <c r="V458" s="963"/>
      <c r="W458" s="963"/>
      <c r="X458" s="963"/>
    </row>
    <row r="459" spans="1:24" s="837" customFormat="1" ht="37.5">
      <c r="A459" s="959"/>
      <c r="B459" s="964" t="s">
        <v>2012</v>
      </c>
      <c r="C459" s="961"/>
      <c r="D459" s="961"/>
      <c r="E459" s="961"/>
      <c r="F459" s="961"/>
      <c r="G459" s="961"/>
      <c r="H459" s="961"/>
      <c r="I459" s="961"/>
      <c r="J459" s="944">
        <v>3439</v>
      </c>
      <c r="K459" s="961"/>
      <c r="L459" s="961"/>
      <c r="M459" s="961"/>
      <c r="N459" s="961"/>
      <c r="O459" s="961">
        <v>3439</v>
      </c>
      <c r="P459" s="962"/>
      <c r="Q459" s="962">
        <v>3439</v>
      </c>
      <c r="R459" s="961"/>
      <c r="S459" s="961"/>
      <c r="T459" s="961"/>
      <c r="U459" s="961"/>
      <c r="V459" s="963"/>
      <c r="W459" s="963"/>
      <c r="X459" s="963"/>
    </row>
    <row r="460" spans="1:24" s="837" customFormat="1" ht="37.5">
      <c r="A460" s="959"/>
      <c r="B460" s="964" t="s">
        <v>2015</v>
      </c>
      <c r="C460" s="961"/>
      <c r="D460" s="961"/>
      <c r="E460" s="961"/>
      <c r="F460" s="961"/>
      <c r="G460" s="961"/>
      <c r="H460" s="961"/>
      <c r="I460" s="961"/>
      <c r="J460" s="944">
        <v>126</v>
      </c>
      <c r="K460" s="961"/>
      <c r="L460" s="961"/>
      <c r="M460" s="961"/>
      <c r="N460" s="961"/>
      <c r="O460" s="961">
        <v>126</v>
      </c>
      <c r="P460" s="962"/>
      <c r="Q460" s="962">
        <v>126</v>
      </c>
      <c r="R460" s="961"/>
      <c r="S460" s="961"/>
      <c r="T460" s="961"/>
      <c r="U460" s="961"/>
      <c r="V460" s="963"/>
      <c r="W460" s="963"/>
      <c r="X460" s="963"/>
    </row>
    <row r="461" spans="1:24" s="837" customFormat="1" ht="37.5">
      <c r="A461" s="959"/>
      <c r="B461" s="964" t="s">
        <v>2017</v>
      </c>
      <c r="C461" s="961"/>
      <c r="D461" s="961"/>
      <c r="E461" s="961"/>
      <c r="F461" s="961"/>
      <c r="G461" s="961"/>
      <c r="H461" s="961"/>
      <c r="I461" s="961"/>
      <c r="J461" s="944">
        <v>3738</v>
      </c>
      <c r="K461" s="961"/>
      <c r="L461" s="961"/>
      <c r="M461" s="961"/>
      <c r="N461" s="961"/>
      <c r="O461" s="961">
        <v>3738</v>
      </c>
      <c r="P461" s="962"/>
      <c r="Q461" s="962">
        <v>3738</v>
      </c>
      <c r="R461" s="961"/>
      <c r="S461" s="961"/>
      <c r="T461" s="961"/>
      <c r="U461" s="961"/>
      <c r="V461" s="963"/>
      <c r="W461" s="963"/>
      <c r="X461" s="963"/>
    </row>
    <row r="462" spans="1:24" s="837" customFormat="1" ht="56.25">
      <c r="A462" s="959"/>
      <c r="B462" s="964" t="s">
        <v>2018</v>
      </c>
      <c r="C462" s="961"/>
      <c r="D462" s="961"/>
      <c r="E462" s="961"/>
      <c r="F462" s="961"/>
      <c r="G462" s="961"/>
      <c r="H462" s="961"/>
      <c r="I462" s="961"/>
      <c r="J462" s="944">
        <v>1522.3707899999999</v>
      </c>
      <c r="K462" s="961"/>
      <c r="L462" s="961"/>
      <c r="M462" s="961"/>
      <c r="N462" s="961"/>
      <c r="O462" s="961">
        <v>1522.3707899999999</v>
      </c>
      <c r="P462" s="962"/>
      <c r="Q462" s="962">
        <v>1522.3707899999999</v>
      </c>
      <c r="R462" s="961"/>
      <c r="S462" s="961"/>
      <c r="T462" s="961"/>
      <c r="U462" s="961"/>
      <c r="V462" s="963"/>
      <c r="W462" s="963"/>
      <c r="X462" s="963"/>
    </row>
    <row r="463" spans="1:24" s="837" customFormat="1">
      <c r="A463" s="959"/>
      <c r="B463" s="964" t="s">
        <v>461</v>
      </c>
      <c r="C463" s="961"/>
      <c r="D463" s="961"/>
      <c r="E463" s="961"/>
      <c r="F463" s="961"/>
      <c r="G463" s="961"/>
      <c r="H463" s="961"/>
      <c r="I463" s="961"/>
      <c r="J463" s="944">
        <v>264.38</v>
      </c>
      <c r="K463" s="961"/>
      <c r="L463" s="961"/>
      <c r="M463" s="961"/>
      <c r="N463" s="961"/>
      <c r="O463" s="961">
        <v>264.38</v>
      </c>
      <c r="P463" s="962"/>
      <c r="Q463" s="962">
        <v>264.38</v>
      </c>
      <c r="R463" s="961"/>
      <c r="S463" s="961"/>
      <c r="T463" s="961"/>
      <c r="U463" s="961"/>
      <c r="V463" s="963"/>
      <c r="W463" s="963"/>
      <c r="X463" s="963"/>
    </row>
    <row r="464" spans="1:24" s="837" customFormat="1" ht="37.5">
      <c r="A464" s="959"/>
      <c r="B464" s="964" t="s">
        <v>2021</v>
      </c>
      <c r="C464" s="961"/>
      <c r="D464" s="961"/>
      <c r="E464" s="961"/>
      <c r="F464" s="961"/>
      <c r="G464" s="961"/>
      <c r="H464" s="961"/>
      <c r="I464" s="961"/>
      <c r="J464" s="944">
        <v>264.38</v>
      </c>
      <c r="K464" s="961"/>
      <c r="L464" s="961"/>
      <c r="M464" s="961"/>
      <c r="N464" s="961"/>
      <c r="O464" s="961">
        <v>264.38</v>
      </c>
      <c r="P464" s="962"/>
      <c r="Q464" s="962">
        <v>264.38</v>
      </c>
      <c r="R464" s="961"/>
      <c r="S464" s="961"/>
      <c r="T464" s="961"/>
      <c r="U464" s="961"/>
      <c r="V464" s="963"/>
      <c r="W464" s="963"/>
      <c r="X464" s="963"/>
    </row>
    <row r="465" spans="1:24" s="837" customFormat="1">
      <c r="A465" s="959"/>
      <c r="B465" s="964" t="s">
        <v>512</v>
      </c>
      <c r="C465" s="961"/>
      <c r="D465" s="961"/>
      <c r="E465" s="961"/>
      <c r="F465" s="961"/>
      <c r="G465" s="961"/>
      <c r="H465" s="961"/>
      <c r="I465" s="961"/>
      <c r="J465" s="944">
        <v>561.89099999999996</v>
      </c>
      <c r="K465" s="961"/>
      <c r="L465" s="961"/>
      <c r="M465" s="961"/>
      <c r="N465" s="961"/>
      <c r="O465" s="961">
        <v>561.89099999999996</v>
      </c>
      <c r="P465" s="962"/>
      <c r="Q465" s="962">
        <v>561.89099999999996</v>
      </c>
      <c r="R465" s="961"/>
      <c r="S465" s="961"/>
      <c r="T465" s="961"/>
      <c r="U465" s="961"/>
      <c r="V465" s="963"/>
      <c r="W465" s="963"/>
      <c r="X465" s="963"/>
    </row>
    <row r="466" spans="1:24" s="837" customFormat="1" ht="37.5">
      <c r="A466" s="959"/>
      <c r="B466" s="964" t="s">
        <v>2023</v>
      </c>
      <c r="C466" s="961"/>
      <c r="D466" s="961"/>
      <c r="E466" s="961"/>
      <c r="F466" s="961"/>
      <c r="G466" s="961"/>
      <c r="H466" s="961"/>
      <c r="I466" s="961"/>
      <c r="J466" s="944">
        <v>511.89100000000002</v>
      </c>
      <c r="K466" s="961"/>
      <c r="L466" s="961"/>
      <c r="M466" s="961"/>
      <c r="N466" s="961"/>
      <c r="O466" s="961">
        <v>511.89100000000002</v>
      </c>
      <c r="P466" s="962"/>
      <c r="Q466" s="962">
        <v>511.89100000000002</v>
      </c>
      <c r="R466" s="961"/>
      <c r="S466" s="961"/>
      <c r="T466" s="961"/>
      <c r="U466" s="961"/>
      <c r="V466" s="963"/>
      <c r="W466" s="963"/>
      <c r="X466" s="963"/>
    </row>
    <row r="467" spans="1:24" s="837" customFormat="1">
      <c r="A467" s="959"/>
      <c r="B467" s="964" t="s">
        <v>2022</v>
      </c>
      <c r="C467" s="961"/>
      <c r="D467" s="961"/>
      <c r="E467" s="961"/>
      <c r="F467" s="961"/>
      <c r="G467" s="961"/>
      <c r="H467" s="961"/>
      <c r="I467" s="961"/>
      <c r="J467" s="944">
        <v>50</v>
      </c>
      <c r="K467" s="961"/>
      <c r="L467" s="961"/>
      <c r="M467" s="961"/>
      <c r="N467" s="961"/>
      <c r="O467" s="961">
        <v>50</v>
      </c>
      <c r="P467" s="962"/>
      <c r="Q467" s="962">
        <v>50</v>
      </c>
      <c r="R467" s="961"/>
      <c r="S467" s="961"/>
      <c r="T467" s="961"/>
      <c r="U467" s="961"/>
      <c r="V467" s="963"/>
      <c r="W467" s="963"/>
      <c r="X467" s="963"/>
    </row>
    <row r="468" spans="1:24" s="837" customFormat="1">
      <c r="A468" s="959"/>
      <c r="B468" s="964" t="s">
        <v>1515</v>
      </c>
      <c r="C468" s="961"/>
      <c r="D468" s="961"/>
      <c r="E468" s="961"/>
      <c r="F468" s="961"/>
      <c r="G468" s="961"/>
      <c r="H468" s="961"/>
      <c r="I468" s="961"/>
      <c r="J468" s="944">
        <v>900</v>
      </c>
      <c r="K468" s="961"/>
      <c r="L468" s="961"/>
      <c r="M468" s="961"/>
      <c r="N468" s="961"/>
      <c r="O468" s="961">
        <v>900</v>
      </c>
      <c r="P468" s="962"/>
      <c r="Q468" s="962">
        <v>900</v>
      </c>
      <c r="R468" s="961"/>
      <c r="S468" s="961"/>
      <c r="T468" s="961"/>
      <c r="U468" s="961"/>
      <c r="V468" s="963"/>
      <c r="W468" s="963"/>
      <c r="X468" s="963"/>
    </row>
    <row r="469" spans="1:24" s="837" customFormat="1">
      <c r="A469" s="959"/>
      <c r="B469" s="964" t="s">
        <v>2024</v>
      </c>
      <c r="C469" s="961"/>
      <c r="D469" s="961"/>
      <c r="E469" s="961"/>
      <c r="F469" s="961"/>
      <c r="G469" s="961"/>
      <c r="H469" s="961"/>
      <c r="I469" s="961"/>
      <c r="J469" s="944">
        <v>900</v>
      </c>
      <c r="K469" s="961"/>
      <c r="L469" s="961"/>
      <c r="M469" s="961"/>
      <c r="N469" s="961"/>
      <c r="O469" s="961">
        <v>900</v>
      </c>
      <c r="P469" s="962"/>
      <c r="Q469" s="962">
        <v>900</v>
      </c>
      <c r="R469" s="961"/>
      <c r="S469" s="961"/>
      <c r="T469" s="961"/>
      <c r="U469" s="961"/>
      <c r="V469" s="963"/>
      <c r="W469" s="963"/>
      <c r="X469" s="963"/>
    </row>
    <row r="470" spans="1:24" s="837" customFormat="1">
      <c r="A470" s="959"/>
      <c r="B470" s="964" t="s">
        <v>477</v>
      </c>
      <c r="C470" s="961"/>
      <c r="D470" s="961"/>
      <c r="E470" s="961"/>
      <c r="F470" s="961"/>
      <c r="G470" s="961"/>
      <c r="H470" s="961"/>
      <c r="I470" s="961"/>
      <c r="J470" s="944">
        <v>243.798</v>
      </c>
      <c r="K470" s="961"/>
      <c r="L470" s="961"/>
      <c r="M470" s="961"/>
      <c r="N470" s="961"/>
      <c r="O470" s="961">
        <v>243.798</v>
      </c>
      <c r="P470" s="962"/>
      <c r="Q470" s="962">
        <v>243.798</v>
      </c>
      <c r="R470" s="961"/>
      <c r="S470" s="961"/>
      <c r="T470" s="961"/>
      <c r="U470" s="961"/>
      <c r="V470" s="963"/>
      <c r="W470" s="963"/>
      <c r="X470" s="963"/>
    </row>
    <row r="471" spans="1:24" s="837" customFormat="1" ht="37.5">
      <c r="A471" s="959"/>
      <c r="B471" s="964" t="s">
        <v>2026</v>
      </c>
      <c r="C471" s="961"/>
      <c r="D471" s="961"/>
      <c r="E471" s="961"/>
      <c r="F471" s="961"/>
      <c r="G471" s="961"/>
      <c r="H471" s="961"/>
      <c r="I471" s="961"/>
      <c r="J471" s="944">
        <v>243.798</v>
      </c>
      <c r="K471" s="961"/>
      <c r="L471" s="961"/>
      <c r="M471" s="961"/>
      <c r="N471" s="961"/>
      <c r="O471" s="961">
        <v>243.798</v>
      </c>
      <c r="P471" s="962"/>
      <c r="Q471" s="962">
        <v>243.798</v>
      </c>
      <c r="R471" s="961"/>
      <c r="S471" s="961"/>
      <c r="T471" s="961"/>
      <c r="U471" s="961"/>
      <c r="V471" s="963"/>
      <c r="W471" s="963"/>
      <c r="X471" s="963"/>
    </row>
    <row r="472" spans="1:24" s="837" customFormat="1">
      <c r="A472" s="959"/>
      <c r="B472" s="964" t="s">
        <v>509</v>
      </c>
      <c r="C472" s="961"/>
      <c r="D472" s="961"/>
      <c r="E472" s="961"/>
      <c r="F472" s="961"/>
      <c r="G472" s="961"/>
      <c r="H472" s="961"/>
      <c r="I472" s="961"/>
      <c r="J472" s="944">
        <v>128.435</v>
      </c>
      <c r="K472" s="961"/>
      <c r="L472" s="961"/>
      <c r="M472" s="961"/>
      <c r="N472" s="961"/>
      <c r="O472" s="961">
        <v>128.435</v>
      </c>
      <c r="P472" s="962"/>
      <c r="Q472" s="962">
        <v>128.435</v>
      </c>
      <c r="R472" s="961"/>
      <c r="S472" s="961"/>
      <c r="T472" s="961"/>
      <c r="U472" s="961"/>
      <c r="V472" s="963"/>
      <c r="W472" s="963"/>
      <c r="X472" s="963"/>
    </row>
    <row r="473" spans="1:24" s="837" customFormat="1">
      <c r="A473" s="959"/>
      <c r="B473" s="964" t="s">
        <v>2030</v>
      </c>
      <c r="C473" s="961"/>
      <c r="D473" s="961"/>
      <c r="E473" s="961"/>
      <c r="F473" s="961"/>
      <c r="G473" s="961"/>
      <c r="H473" s="961"/>
      <c r="I473" s="961"/>
      <c r="J473" s="944">
        <v>128.435</v>
      </c>
      <c r="K473" s="961"/>
      <c r="L473" s="961"/>
      <c r="M473" s="961"/>
      <c r="N473" s="961"/>
      <c r="O473" s="961">
        <v>128.435</v>
      </c>
      <c r="P473" s="962"/>
      <c r="Q473" s="962">
        <v>128.435</v>
      </c>
      <c r="R473" s="961"/>
      <c r="S473" s="961"/>
      <c r="T473" s="961"/>
      <c r="U473" s="961"/>
      <c r="V473" s="963"/>
      <c r="W473" s="963"/>
      <c r="X473" s="963"/>
    </row>
    <row r="474" spans="1:24" s="837" customFormat="1">
      <c r="A474" s="959"/>
      <c r="B474" s="964" t="s">
        <v>545</v>
      </c>
      <c r="C474" s="961"/>
      <c r="D474" s="961"/>
      <c r="E474" s="961"/>
      <c r="F474" s="961"/>
      <c r="G474" s="961"/>
      <c r="H474" s="961"/>
      <c r="I474" s="961"/>
      <c r="J474" s="944">
        <v>100</v>
      </c>
      <c r="K474" s="961"/>
      <c r="L474" s="961"/>
      <c r="M474" s="961"/>
      <c r="N474" s="961"/>
      <c r="O474" s="961">
        <v>100</v>
      </c>
      <c r="P474" s="962"/>
      <c r="Q474" s="962">
        <v>100</v>
      </c>
      <c r="R474" s="961"/>
      <c r="S474" s="961"/>
      <c r="T474" s="961"/>
      <c r="U474" s="961"/>
      <c r="V474" s="963"/>
      <c r="W474" s="963"/>
      <c r="X474" s="963"/>
    </row>
    <row r="475" spans="1:24" s="837" customFormat="1">
      <c r="A475" s="959"/>
      <c r="B475" s="964" t="s">
        <v>2031</v>
      </c>
      <c r="C475" s="961"/>
      <c r="D475" s="961"/>
      <c r="E475" s="961"/>
      <c r="F475" s="961"/>
      <c r="G475" s="961"/>
      <c r="H475" s="961"/>
      <c r="I475" s="961"/>
      <c r="J475" s="944">
        <v>100</v>
      </c>
      <c r="K475" s="961"/>
      <c r="L475" s="961"/>
      <c r="M475" s="961"/>
      <c r="N475" s="961"/>
      <c r="O475" s="961">
        <v>100</v>
      </c>
      <c r="P475" s="962"/>
      <c r="Q475" s="962">
        <v>100</v>
      </c>
      <c r="R475" s="961"/>
      <c r="S475" s="961"/>
      <c r="T475" s="961"/>
      <c r="U475" s="961"/>
      <c r="V475" s="963"/>
      <c r="W475" s="963"/>
      <c r="X475" s="963"/>
    </row>
    <row r="476" spans="1:24" s="837" customFormat="1">
      <c r="A476" s="959"/>
      <c r="B476" s="964" t="s">
        <v>2247</v>
      </c>
      <c r="C476" s="961"/>
      <c r="D476" s="961"/>
      <c r="E476" s="961"/>
      <c r="F476" s="961"/>
      <c r="G476" s="961"/>
      <c r="H476" s="961"/>
      <c r="I476" s="961"/>
      <c r="J476" s="944">
        <v>186.959</v>
      </c>
      <c r="K476" s="961"/>
      <c r="L476" s="961"/>
      <c r="M476" s="961"/>
      <c r="N476" s="961"/>
      <c r="O476" s="961">
        <v>186.959</v>
      </c>
      <c r="P476" s="962"/>
      <c r="Q476" s="962">
        <v>186.959</v>
      </c>
      <c r="R476" s="961"/>
      <c r="S476" s="961"/>
      <c r="T476" s="961"/>
      <c r="U476" s="961"/>
      <c r="V476" s="963"/>
      <c r="W476" s="963"/>
      <c r="X476" s="963"/>
    </row>
    <row r="477" spans="1:24" s="837" customFormat="1" ht="37.5">
      <c r="A477" s="959"/>
      <c r="B477" s="964" t="s">
        <v>2033</v>
      </c>
      <c r="C477" s="961"/>
      <c r="D477" s="961"/>
      <c r="E477" s="961"/>
      <c r="F477" s="961"/>
      <c r="G477" s="961"/>
      <c r="H477" s="961"/>
      <c r="I477" s="961"/>
      <c r="J477" s="944">
        <v>186.959</v>
      </c>
      <c r="K477" s="961"/>
      <c r="L477" s="961"/>
      <c r="M477" s="961"/>
      <c r="N477" s="961"/>
      <c r="O477" s="961">
        <v>186.959</v>
      </c>
      <c r="P477" s="962"/>
      <c r="Q477" s="962">
        <v>186.959</v>
      </c>
      <c r="R477" s="961"/>
      <c r="S477" s="961"/>
      <c r="T477" s="961"/>
      <c r="U477" s="961"/>
      <c r="V477" s="963"/>
      <c r="W477" s="963"/>
      <c r="X477" s="963"/>
    </row>
    <row r="478" spans="1:24" s="837" customFormat="1">
      <c r="A478" s="959"/>
      <c r="B478" s="964" t="s">
        <v>373</v>
      </c>
      <c r="C478" s="961"/>
      <c r="D478" s="961"/>
      <c r="E478" s="961"/>
      <c r="F478" s="961"/>
      <c r="G478" s="961"/>
      <c r="H478" s="961"/>
      <c r="I478" s="961"/>
      <c r="J478" s="944">
        <v>20.736000000000001</v>
      </c>
      <c r="K478" s="961"/>
      <c r="L478" s="961"/>
      <c r="M478" s="961"/>
      <c r="N478" s="961"/>
      <c r="O478" s="961">
        <v>20.736000000000001</v>
      </c>
      <c r="P478" s="962"/>
      <c r="Q478" s="962">
        <v>20.736000000000001</v>
      </c>
      <c r="R478" s="961"/>
      <c r="S478" s="961"/>
      <c r="T478" s="961"/>
      <c r="U478" s="961"/>
      <c r="V478" s="963"/>
      <c r="W478" s="963"/>
      <c r="X478" s="963"/>
    </row>
    <row r="479" spans="1:24" s="837" customFormat="1" ht="37.5">
      <c r="A479" s="959"/>
      <c r="B479" s="964" t="s">
        <v>2038</v>
      </c>
      <c r="C479" s="961"/>
      <c r="D479" s="961"/>
      <c r="E479" s="961"/>
      <c r="F479" s="961"/>
      <c r="G479" s="961"/>
      <c r="H479" s="961"/>
      <c r="I479" s="961"/>
      <c r="J479" s="944">
        <v>20.736000000000001</v>
      </c>
      <c r="K479" s="961"/>
      <c r="L479" s="961"/>
      <c r="M479" s="961"/>
      <c r="N479" s="961"/>
      <c r="O479" s="961">
        <v>20.736000000000001</v>
      </c>
      <c r="P479" s="962"/>
      <c r="Q479" s="962">
        <v>20.736000000000001</v>
      </c>
      <c r="R479" s="961"/>
      <c r="S479" s="961"/>
      <c r="T479" s="961"/>
      <c r="U479" s="961"/>
      <c r="V479" s="963"/>
      <c r="W479" s="963"/>
      <c r="X479" s="963"/>
    </row>
    <row r="480" spans="1:24" s="837" customFormat="1">
      <c r="A480" s="959"/>
      <c r="B480" s="964" t="s">
        <v>525</v>
      </c>
      <c r="C480" s="961"/>
      <c r="D480" s="961"/>
      <c r="E480" s="961"/>
      <c r="F480" s="961"/>
      <c r="G480" s="961"/>
      <c r="H480" s="961"/>
      <c r="I480" s="961"/>
      <c r="J480" s="944">
        <v>3343.826028</v>
      </c>
      <c r="K480" s="961"/>
      <c r="L480" s="961"/>
      <c r="M480" s="961"/>
      <c r="N480" s="961"/>
      <c r="O480" s="961">
        <v>3343.826028</v>
      </c>
      <c r="P480" s="962"/>
      <c r="Q480" s="962">
        <v>3343.826028</v>
      </c>
      <c r="R480" s="961"/>
      <c r="S480" s="961"/>
      <c r="T480" s="961"/>
      <c r="U480" s="961"/>
      <c r="V480" s="963"/>
      <c r="W480" s="963"/>
      <c r="X480" s="963"/>
    </row>
    <row r="481" spans="1:24" s="837" customFormat="1" ht="37.5">
      <c r="A481" s="959"/>
      <c r="B481" s="964" t="s">
        <v>2071</v>
      </c>
      <c r="C481" s="961"/>
      <c r="D481" s="961"/>
      <c r="E481" s="961"/>
      <c r="F481" s="961"/>
      <c r="G481" s="961"/>
      <c r="H481" s="961"/>
      <c r="I481" s="961"/>
      <c r="J481" s="944">
        <v>25</v>
      </c>
      <c r="K481" s="961"/>
      <c r="L481" s="961"/>
      <c r="M481" s="961"/>
      <c r="N481" s="961"/>
      <c r="O481" s="961">
        <v>25</v>
      </c>
      <c r="P481" s="962"/>
      <c r="Q481" s="962">
        <v>25</v>
      </c>
      <c r="R481" s="961"/>
      <c r="S481" s="961"/>
      <c r="T481" s="961"/>
      <c r="U481" s="961"/>
      <c r="V481" s="963"/>
      <c r="W481" s="963"/>
      <c r="X481" s="963"/>
    </row>
    <row r="482" spans="1:24" s="837" customFormat="1" ht="37.5">
      <c r="A482" s="959"/>
      <c r="B482" s="964" t="s">
        <v>2072</v>
      </c>
      <c r="C482" s="961"/>
      <c r="D482" s="961"/>
      <c r="E482" s="961"/>
      <c r="F482" s="961"/>
      <c r="G482" s="961"/>
      <c r="H482" s="961"/>
      <c r="I482" s="961"/>
      <c r="J482" s="944">
        <v>11</v>
      </c>
      <c r="K482" s="961"/>
      <c r="L482" s="961"/>
      <c r="M482" s="961"/>
      <c r="N482" s="961"/>
      <c r="O482" s="961">
        <v>11</v>
      </c>
      <c r="P482" s="962"/>
      <c r="Q482" s="962">
        <v>11</v>
      </c>
      <c r="R482" s="961"/>
      <c r="S482" s="961"/>
      <c r="T482" s="961"/>
      <c r="U482" s="961"/>
      <c r="V482" s="963"/>
      <c r="W482" s="963"/>
      <c r="X482" s="963"/>
    </row>
    <row r="483" spans="1:24" s="837" customFormat="1" ht="37.5">
      <c r="A483" s="959"/>
      <c r="B483" s="964" t="s">
        <v>2073</v>
      </c>
      <c r="C483" s="961"/>
      <c r="D483" s="961"/>
      <c r="E483" s="961"/>
      <c r="F483" s="961"/>
      <c r="G483" s="961"/>
      <c r="H483" s="961"/>
      <c r="I483" s="961"/>
      <c r="J483" s="944">
        <v>124</v>
      </c>
      <c r="K483" s="961"/>
      <c r="L483" s="961"/>
      <c r="M483" s="961"/>
      <c r="N483" s="961"/>
      <c r="O483" s="961">
        <v>124</v>
      </c>
      <c r="P483" s="962"/>
      <c r="Q483" s="962">
        <v>124</v>
      </c>
      <c r="R483" s="961"/>
      <c r="S483" s="961"/>
      <c r="T483" s="961"/>
      <c r="U483" s="961"/>
      <c r="V483" s="963"/>
      <c r="W483" s="963"/>
      <c r="X483" s="963"/>
    </row>
    <row r="484" spans="1:24" s="837" customFormat="1" ht="37.5">
      <c r="A484" s="959"/>
      <c r="B484" s="964" t="s">
        <v>2074</v>
      </c>
      <c r="C484" s="961"/>
      <c r="D484" s="961"/>
      <c r="E484" s="961"/>
      <c r="F484" s="961"/>
      <c r="G484" s="961"/>
      <c r="H484" s="961"/>
      <c r="I484" s="961"/>
      <c r="J484" s="944">
        <v>254.73231999999999</v>
      </c>
      <c r="K484" s="961"/>
      <c r="L484" s="961"/>
      <c r="M484" s="961"/>
      <c r="N484" s="961"/>
      <c r="O484" s="961">
        <v>254.73231999999999</v>
      </c>
      <c r="P484" s="962"/>
      <c r="Q484" s="962">
        <v>254.73231999999999</v>
      </c>
      <c r="R484" s="961"/>
      <c r="S484" s="961"/>
      <c r="T484" s="961"/>
      <c r="U484" s="961"/>
      <c r="V484" s="963"/>
      <c r="W484" s="963"/>
      <c r="X484" s="963"/>
    </row>
    <row r="485" spans="1:24" s="837" customFormat="1" ht="37.5">
      <c r="A485" s="959"/>
      <c r="B485" s="964" t="s">
        <v>2075</v>
      </c>
      <c r="C485" s="961"/>
      <c r="D485" s="961"/>
      <c r="E485" s="961"/>
      <c r="F485" s="961"/>
      <c r="G485" s="961"/>
      <c r="H485" s="961"/>
      <c r="I485" s="961"/>
      <c r="J485" s="944">
        <v>26</v>
      </c>
      <c r="K485" s="961"/>
      <c r="L485" s="961"/>
      <c r="M485" s="961"/>
      <c r="N485" s="961"/>
      <c r="O485" s="961">
        <v>26</v>
      </c>
      <c r="P485" s="962"/>
      <c r="Q485" s="962">
        <v>26</v>
      </c>
      <c r="R485" s="961"/>
      <c r="S485" s="961"/>
      <c r="T485" s="961"/>
      <c r="U485" s="961"/>
      <c r="V485" s="963"/>
      <c r="W485" s="963"/>
      <c r="X485" s="963"/>
    </row>
    <row r="486" spans="1:24" s="837" customFormat="1" ht="37.5">
      <c r="A486" s="959"/>
      <c r="B486" s="964" t="s">
        <v>2076</v>
      </c>
      <c r="C486" s="961"/>
      <c r="D486" s="961"/>
      <c r="E486" s="961"/>
      <c r="F486" s="961"/>
      <c r="G486" s="961"/>
      <c r="H486" s="961"/>
      <c r="I486" s="961"/>
      <c r="J486" s="944">
        <v>8</v>
      </c>
      <c r="K486" s="961"/>
      <c r="L486" s="961"/>
      <c r="M486" s="961"/>
      <c r="N486" s="961"/>
      <c r="O486" s="961">
        <v>8</v>
      </c>
      <c r="P486" s="962"/>
      <c r="Q486" s="962">
        <v>8</v>
      </c>
      <c r="R486" s="961"/>
      <c r="S486" s="961"/>
      <c r="T486" s="961"/>
      <c r="U486" s="961"/>
      <c r="V486" s="963"/>
      <c r="W486" s="963"/>
      <c r="X486" s="963"/>
    </row>
    <row r="487" spans="1:24" s="837" customFormat="1" ht="37.5">
      <c r="A487" s="959"/>
      <c r="B487" s="964" t="s">
        <v>2077</v>
      </c>
      <c r="C487" s="961"/>
      <c r="D487" s="961"/>
      <c r="E487" s="961"/>
      <c r="F487" s="961"/>
      <c r="G487" s="961"/>
      <c r="H487" s="961"/>
      <c r="I487" s="961"/>
      <c r="J487" s="944">
        <v>1191.791258</v>
      </c>
      <c r="K487" s="961"/>
      <c r="L487" s="961"/>
      <c r="M487" s="961"/>
      <c r="N487" s="961"/>
      <c r="O487" s="961">
        <v>1191.791258</v>
      </c>
      <c r="P487" s="962"/>
      <c r="Q487" s="962">
        <v>1191.791258</v>
      </c>
      <c r="R487" s="961"/>
      <c r="S487" s="961"/>
      <c r="T487" s="961"/>
      <c r="U487" s="961"/>
      <c r="V487" s="963"/>
      <c r="W487" s="963"/>
      <c r="X487" s="963"/>
    </row>
    <row r="488" spans="1:24" s="837" customFormat="1">
      <c r="A488" s="959"/>
      <c r="B488" s="964" t="s">
        <v>2079</v>
      </c>
      <c r="C488" s="961"/>
      <c r="D488" s="961"/>
      <c r="E488" s="961"/>
      <c r="F488" s="961"/>
      <c r="G488" s="961"/>
      <c r="H488" s="961"/>
      <c r="I488" s="961"/>
      <c r="J488" s="944">
        <v>4</v>
      </c>
      <c r="K488" s="961"/>
      <c r="L488" s="961"/>
      <c r="M488" s="961"/>
      <c r="N488" s="961"/>
      <c r="O488" s="961">
        <v>4</v>
      </c>
      <c r="P488" s="962"/>
      <c r="Q488" s="962">
        <v>4</v>
      </c>
      <c r="R488" s="961"/>
      <c r="S488" s="961"/>
      <c r="T488" s="961"/>
      <c r="U488" s="961"/>
      <c r="V488" s="963"/>
      <c r="W488" s="963"/>
      <c r="X488" s="963"/>
    </row>
    <row r="489" spans="1:24" s="837" customFormat="1" ht="37.5">
      <c r="A489" s="959"/>
      <c r="B489" s="964" t="s">
        <v>2085</v>
      </c>
      <c r="C489" s="961"/>
      <c r="D489" s="961"/>
      <c r="E489" s="961"/>
      <c r="F489" s="961"/>
      <c r="G489" s="961"/>
      <c r="H489" s="961"/>
      <c r="I489" s="961"/>
      <c r="J489" s="944">
        <v>200</v>
      </c>
      <c r="K489" s="961"/>
      <c r="L489" s="961"/>
      <c r="M489" s="961"/>
      <c r="N489" s="961"/>
      <c r="O489" s="961">
        <v>200</v>
      </c>
      <c r="P489" s="962"/>
      <c r="Q489" s="962">
        <v>200</v>
      </c>
      <c r="R489" s="961"/>
      <c r="S489" s="961"/>
      <c r="T489" s="961"/>
      <c r="U489" s="961"/>
      <c r="V489" s="963"/>
      <c r="W489" s="963"/>
      <c r="X489" s="963"/>
    </row>
    <row r="490" spans="1:24" s="837" customFormat="1" ht="37.5">
      <c r="A490" s="959"/>
      <c r="B490" s="964" t="s">
        <v>2086</v>
      </c>
      <c r="C490" s="961"/>
      <c r="D490" s="961"/>
      <c r="E490" s="961"/>
      <c r="F490" s="961"/>
      <c r="G490" s="961"/>
      <c r="H490" s="961"/>
      <c r="I490" s="961"/>
      <c r="J490" s="944">
        <v>1114.4314999999999</v>
      </c>
      <c r="K490" s="961"/>
      <c r="L490" s="961"/>
      <c r="M490" s="961"/>
      <c r="N490" s="961"/>
      <c r="O490" s="961">
        <v>1114.4314999999999</v>
      </c>
      <c r="P490" s="962"/>
      <c r="Q490" s="962">
        <v>1114.4314999999999</v>
      </c>
      <c r="R490" s="961"/>
      <c r="S490" s="961"/>
      <c r="T490" s="961"/>
      <c r="U490" s="961"/>
      <c r="V490" s="963"/>
      <c r="W490" s="963"/>
      <c r="X490" s="963"/>
    </row>
    <row r="491" spans="1:24" s="837" customFormat="1" ht="37.5">
      <c r="A491" s="959"/>
      <c r="B491" s="964" t="s">
        <v>2091</v>
      </c>
      <c r="C491" s="961"/>
      <c r="D491" s="961"/>
      <c r="E491" s="961"/>
      <c r="F491" s="961"/>
      <c r="G491" s="961"/>
      <c r="H491" s="961"/>
      <c r="I491" s="961"/>
      <c r="J491" s="944">
        <v>384.87094999999999</v>
      </c>
      <c r="K491" s="961"/>
      <c r="L491" s="961"/>
      <c r="M491" s="961"/>
      <c r="N491" s="961"/>
      <c r="O491" s="961">
        <v>384.87094999999999</v>
      </c>
      <c r="P491" s="962"/>
      <c r="Q491" s="962">
        <v>384.87094999999999</v>
      </c>
      <c r="R491" s="961"/>
      <c r="S491" s="961"/>
      <c r="T491" s="961"/>
      <c r="U491" s="961"/>
      <c r="V491" s="963"/>
      <c r="W491" s="963"/>
      <c r="X491" s="963"/>
    </row>
    <row r="492" spans="1:24" s="837" customFormat="1">
      <c r="A492" s="959"/>
      <c r="B492" s="964" t="s">
        <v>2250</v>
      </c>
      <c r="C492" s="961"/>
      <c r="D492" s="961"/>
      <c r="E492" s="961"/>
      <c r="F492" s="961"/>
      <c r="G492" s="961"/>
      <c r="H492" s="961"/>
      <c r="I492" s="961"/>
      <c r="J492" s="944">
        <v>3849.8082789999999</v>
      </c>
      <c r="K492" s="961"/>
      <c r="L492" s="961"/>
      <c r="M492" s="961"/>
      <c r="N492" s="961"/>
      <c r="O492" s="961">
        <v>3849.8082789999999</v>
      </c>
      <c r="P492" s="962"/>
      <c r="Q492" s="962">
        <v>3849.8082789999999</v>
      </c>
      <c r="R492" s="961"/>
      <c r="S492" s="961"/>
      <c r="T492" s="961"/>
      <c r="U492" s="961"/>
      <c r="V492" s="963"/>
      <c r="W492" s="963"/>
      <c r="X492" s="963"/>
    </row>
    <row r="493" spans="1:24" s="837" customFormat="1" ht="37.5">
      <c r="A493" s="959"/>
      <c r="B493" s="964" t="s">
        <v>2101</v>
      </c>
      <c r="C493" s="961"/>
      <c r="D493" s="961"/>
      <c r="E493" s="961"/>
      <c r="F493" s="961"/>
      <c r="G493" s="961"/>
      <c r="H493" s="961"/>
      <c r="I493" s="961"/>
      <c r="J493" s="944">
        <v>244.08136500000001</v>
      </c>
      <c r="K493" s="961"/>
      <c r="L493" s="961"/>
      <c r="M493" s="961"/>
      <c r="N493" s="961"/>
      <c r="O493" s="961">
        <v>244.08136500000001</v>
      </c>
      <c r="P493" s="962"/>
      <c r="Q493" s="962">
        <v>244.08136500000001</v>
      </c>
      <c r="R493" s="961"/>
      <c r="S493" s="961"/>
      <c r="T493" s="961"/>
      <c r="U493" s="961"/>
      <c r="V493" s="963"/>
      <c r="W493" s="963"/>
      <c r="X493" s="963"/>
    </row>
    <row r="494" spans="1:24" s="837" customFormat="1" ht="37.5">
      <c r="A494" s="959"/>
      <c r="B494" s="964" t="s">
        <v>2093</v>
      </c>
      <c r="C494" s="961"/>
      <c r="D494" s="961"/>
      <c r="E494" s="961"/>
      <c r="F494" s="961"/>
      <c r="G494" s="961"/>
      <c r="H494" s="961"/>
      <c r="I494" s="961"/>
      <c r="J494" s="944">
        <v>3605.7269139999999</v>
      </c>
      <c r="K494" s="961"/>
      <c r="L494" s="961"/>
      <c r="M494" s="961"/>
      <c r="N494" s="961"/>
      <c r="O494" s="961">
        <v>3605.7269139999999</v>
      </c>
      <c r="P494" s="962"/>
      <c r="Q494" s="962">
        <v>3605.7269139999999</v>
      </c>
      <c r="R494" s="961"/>
      <c r="S494" s="961"/>
      <c r="T494" s="961"/>
      <c r="U494" s="961"/>
      <c r="V494" s="963"/>
      <c r="W494" s="963"/>
      <c r="X494" s="963"/>
    </row>
    <row r="495" spans="1:24" s="837" customFormat="1">
      <c r="A495" s="959"/>
      <c r="B495" s="964" t="s">
        <v>2252</v>
      </c>
      <c r="C495" s="961"/>
      <c r="D495" s="961"/>
      <c r="E495" s="961"/>
      <c r="F495" s="961"/>
      <c r="G495" s="961"/>
      <c r="H495" s="961"/>
      <c r="I495" s="961"/>
      <c r="J495" s="944">
        <v>2638.02565</v>
      </c>
      <c r="K495" s="961"/>
      <c r="L495" s="961"/>
      <c r="M495" s="961"/>
      <c r="N495" s="961"/>
      <c r="O495" s="961">
        <v>2638.02565</v>
      </c>
      <c r="P495" s="962"/>
      <c r="Q495" s="962">
        <v>2638.02565</v>
      </c>
      <c r="R495" s="961"/>
      <c r="S495" s="961"/>
      <c r="T495" s="961"/>
      <c r="U495" s="961"/>
      <c r="V495" s="963"/>
      <c r="W495" s="963"/>
      <c r="X495" s="963"/>
    </row>
    <row r="496" spans="1:24" s="837" customFormat="1" ht="37.5">
      <c r="A496" s="959"/>
      <c r="B496" s="964" t="s">
        <v>2105</v>
      </c>
      <c r="C496" s="961"/>
      <c r="D496" s="961"/>
      <c r="E496" s="961"/>
      <c r="F496" s="961"/>
      <c r="G496" s="961"/>
      <c r="H496" s="961"/>
      <c r="I496" s="961"/>
      <c r="J496" s="944">
        <v>522.36800000000005</v>
      </c>
      <c r="K496" s="961"/>
      <c r="L496" s="961"/>
      <c r="M496" s="961"/>
      <c r="N496" s="961"/>
      <c r="O496" s="961">
        <v>522.36800000000005</v>
      </c>
      <c r="P496" s="962"/>
      <c r="Q496" s="962">
        <v>522.36800000000005</v>
      </c>
      <c r="R496" s="961"/>
      <c r="S496" s="961"/>
      <c r="T496" s="961"/>
      <c r="U496" s="961"/>
      <c r="V496" s="963"/>
      <c r="W496" s="963"/>
      <c r="X496" s="963"/>
    </row>
    <row r="497" spans="1:24" s="837" customFormat="1" ht="37.5">
      <c r="A497" s="959"/>
      <c r="B497" s="964" t="s">
        <v>2108</v>
      </c>
      <c r="C497" s="961"/>
      <c r="D497" s="961"/>
      <c r="E497" s="961"/>
      <c r="F497" s="961"/>
      <c r="G497" s="961"/>
      <c r="H497" s="961"/>
      <c r="I497" s="961"/>
      <c r="J497" s="944">
        <v>259.92880000000002</v>
      </c>
      <c r="K497" s="961"/>
      <c r="L497" s="961"/>
      <c r="M497" s="961"/>
      <c r="N497" s="961"/>
      <c r="O497" s="961">
        <v>259.92880000000002</v>
      </c>
      <c r="P497" s="962"/>
      <c r="Q497" s="962">
        <v>259.92880000000002</v>
      </c>
      <c r="R497" s="961"/>
      <c r="S497" s="961"/>
      <c r="T497" s="961"/>
      <c r="U497" s="961"/>
      <c r="V497" s="963"/>
      <c r="W497" s="963"/>
      <c r="X497" s="963"/>
    </row>
    <row r="498" spans="1:24" s="837" customFormat="1" ht="37.5">
      <c r="A498" s="959"/>
      <c r="B498" s="964" t="s">
        <v>2109</v>
      </c>
      <c r="C498" s="961"/>
      <c r="D498" s="961"/>
      <c r="E498" s="961"/>
      <c r="F498" s="961"/>
      <c r="G498" s="961"/>
      <c r="H498" s="961"/>
      <c r="I498" s="961"/>
      <c r="J498" s="944">
        <v>1122.2858000000001</v>
      </c>
      <c r="K498" s="961"/>
      <c r="L498" s="961"/>
      <c r="M498" s="961"/>
      <c r="N498" s="961"/>
      <c r="O498" s="961">
        <v>1122.2858000000001</v>
      </c>
      <c r="P498" s="962"/>
      <c r="Q498" s="962">
        <v>1122.2858000000001</v>
      </c>
      <c r="R498" s="961"/>
      <c r="S498" s="961"/>
      <c r="T498" s="961"/>
      <c r="U498" s="961"/>
      <c r="V498" s="963"/>
      <c r="W498" s="963"/>
      <c r="X498" s="963"/>
    </row>
    <row r="499" spans="1:24" s="837" customFormat="1">
      <c r="A499" s="959"/>
      <c r="B499" s="964" t="s">
        <v>2110</v>
      </c>
      <c r="C499" s="961"/>
      <c r="D499" s="961"/>
      <c r="E499" s="961"/>
      <c r="F499" s="961"/>
      <c r="G499" s="961"/>
      <c r="H499" s="961"/>
      <c r="I499" s="961"/>
      <c r="J499" s="944">
        <v>733.44304999999997</v>
      </c>
      <c r="K499" s="961"/>
      <c r="L499" s="961"/>
      <c r="M499" s="961"/>
      <c r="N499" s="961"/>
      <c r="O499" s="961">
        <v>733.44304999999997</v>
      </c>
      <c r="P499" s="962"/>
      <c r="Q499" s="962">
        <v>733.44304999999997</v>
      </c>
      <c r="R499" s="961"/>
      <c r="S499" s="961"/>
      <c r="T499" s="961"/>
      <c r="U499" s="961"/>
      <c r="V499" s="963"/>
      <c r="W499" s="963"/>
      <c r="X499" s="963"/>
    </row>
    <row r="500" spans="1:24" s="837" customFormat="1">
      <c r="A500" s="959"/>
      <c r="B500" s="964" t="s">
        <v>1725</v>
      </c>
      <c r="C500" s="961"/>
      <c r="D500" s="961"/>
      <c r="E500" s="961"/>
      <c r="F500" s="961"/>
      <c r="G500" s="961"/>
      <c r="H500" s="961"/>
      <c r="I500" s="961"/>
      <c r="J500" s="944">
        <v>749.19844699999999</v>
      </c>
      <c r="K500" s="961"/>
      <c r="L500" s="961"/>
      <c r="M500" s="961"/>
      <c r="N500" s="961"/>
      <c r="O500" s="961">
        <v>749.19844699999999</v>
      </c>
      <c r="P500" s="962"/>
      <c r="Q500" s="962">
        <v>749.19844699999999</v>
      </c>
      <c r="R500" s="961"/>
      <c r="S500" s="961"/>
      <c r="T500" s="961"/>
      <c r="U500" s="961"/>
      <c r="V500" s="963"/>
      <c r="W500" s="963"/>
      <c r="X500" s="963"/>
    </row>
    <row r="501" spans="1:24" s="837" customFormat="1" ht="37.5">
      <c r="A501" s="959"/>
      <c r="B501" s="964" t="s">
        <v>2113</v>
      </c>
      <c r="C501" s="961"/>
      <c r="D501" s="961"/>
      <c r="E501" s="961"/>
      <c r="F501" s="961"/>
      <c r="G501" s="961"/>
      <c r="H501" s="961"/>
      <c r="I501" s="961"/>
      <c r="J501" s="944">
        <v>199.19844699999999</v>
      </c>
      <c r="K501" s="961"/>
      <c r="L501" s="961"/>
      <c r="M501" s="961"/>
      <c r="N501" s="961"/>
      <c r="O501" s="961">
        <v>199.19844699999999</v>
      </c>
      <c r="P501" s="962"/>
      <c r="Q501" s="962">
        <v>199.19844699999999</v>
      </c>
      <c r="R501" s="961"/>
      <c r="S501" s="961"/>
      <c r="T501" s="961"/>
      <c r="U501" s="961"/>
      <c r="V501" s="963"/>
      <c r="W501" s="963"/>
      <c r="X501" s="963"/>
    </row>
    <row r="502" spans="1:24" s="837" customFormat="1" ht="37.5">
      <c r="A502" s="959"/>
      <c r="B502" s="964" t="s">
        <v>2115</v>
      </c>
      <c r="C502" s="961"/>
      <c r="D502" s="961"/>
      <c r="E502" s="961"/>
      <c r="F502" s="961"/>
      <c r="G502" s="961"/>
      <c r="H502" s="961"/>
      <c r="I502" s="961"/>
      <c r="J502" s="944">
        <v>550</v>
      </c>
      <c r="K502" s="961"/>
      <c r="L502" s="961"/>
      <c r="M502" s="961"/>
      <c r="N502" s="961"/>
      <c r="O502" s="961">
        <v>550</v>
      </c>
      <c r="P502" s="962"/>
      <c r="Q502" s="962">
        <v>550</v>
      </c>
      <c r="R502" s="961"/>
      <c r="S502" s="961"/>
      <c r="T502" s="961"/>
      <c r="U502" s="961"/>
      <c r="V502" s="963"/>
      <c r="W502" s="963"/>
      <c r="X502" s="963"/>
    </row>
    <row r="503" spans="1:24" s="837" customFormat="1">
      <c r="A503" s="959"/>
      <c r="B503" s="964" t="s">
        <v>2253</v>
      </c>
      <c r="C503" s="961"/>
      <c r="D503" s="961"/>
      <c r="E503" s="961"/>
      <c r="F503" s="961"/>
      <c r="G503" s="961"/>
      <c r="H503" s="961"/>
      <c r="I503" s="961"/>
      <c r="J503" s="944">
        <v>13456.289940000001</v>
      </c>
      <c r="K503" s="961"/>
      <c r="L503" s="961"/>
      <c r="M503" s="961"/>
      <c r="N503" s="961"/>
      <c r="O503" s="961">
        <v>13456.289940000001</v>
      </c>
      <c r="P503" s="962"/>
      <c r="Q503" s="962">
        <v>13456.289940000001</v>
      </c>
      <c r="R503" s="961"/>
      <c r="S503" s="961"/>
      <c r="T503" s="961"/>
      <c r="U503" s="961"/>
      <c r="V503" s="963"/>
      <c r="W503" s="963"/>
      <c r="X503" s="963"/>
    </row>
    <row r="504" spans="1:24" s="837" customFormat="1" ht="37.5">
      <c r="A504" s="959"/>
      <c r="B504" s="964" t="s">
        <v>2117</v>
      </c>
      <c r="C504" s="961"/>
      <c r="D504" s="961"/>
      <c r="E504" s="961"/>
      <c r="F504" s="961"/>
      <c r="G504" s="961"/>
      <c r="H504" s="961"/>
      <c r="I504" s="961"/>
      <c r="J504" s="944">
        <v>103.47750000000001</v>
      </c>
      <c r="K504" s="961"/>
      <c r="L504" s="961"/>
      <c r="M504" s="961"/>
      <c r="N504" s="961"/>
      <c r="O504" s="961">
        <v>103.47750000000001</v>
      </c>
      <c r="P504" s="962"/>
      <c r="Q504" s="962">
        <v>103.47750000000001</v>
      </c>
      <c r="R504" s="961"/>
      <c r="S504" s="961"/>
      <c r="T504" s="961"/>
      <c r="U504" s="961"/>
      <c r="V504" s="963"/>
      <c r="W504" s="963"/>
      <c r="X504" s="963"/>
    </row>
    <row r="505" spans="1:24" s="837" customFormat="1" ht="37.5">
      <c r="A505" s="959"/>
      <c r="B505" s="964" t="s">
        <v>2118</v>
      </c>
      <c r="C505" s="961"/>
      <c r="D505" s="961"/>
      <c r="E505" s="961"/>
      <c r="F505" s="961"/>
      <c r="G505" s="961"/>
      <c r="H505" s="961"/>
      <c r="I505" s="961"/>
      <c r="J505" s="944">
        <v>13352.81244</v>
      </c>
      <c r="K505" s="961"/>
      <c r="L505" s="961"/>
      <c r="M505" s="961"/>
      <c r="N505" s="961"/>
      <c r="O505" s="961">
        <v>13352.81244</v>
      </c>
      <c r="P505" s="962"/>
      <c r="Q505" s="962">
        <v>13352.81244</v>
      </c>
      <c r="R505" s="961"/>
      <c r="S505" s="961"/>
      <c r="T505" s="961"/>
      <c r="U505" s="961"/>
      <c r="V505" s="963"/>
      <c r="W505" s="963"/>
      <c r="X505" s="963"/>
    </row>
    <row r="506" spans="1:24" s="837" customFormat="1">
      <c r="A506" s="959"/>
      <c r="B506" s="964" t="s">
        <v>2491</v>
      </c>
      <c r="C506" s="961"/>
      <c r="D506" s="961"/>
      <c r="E506" s="961"/>
      <c r="F506" s="961"/>
      <c r="G506" s="961"/>
      <c r="H506" s="961"/>
      <c r="I506" s="961"/>
      <c r="J506" s="944">
        <v>297.23200000000003</v>
      </c>
      <c r="K506" s="961"/>
      <c r="L506" s="961"/>
      <c r="M506" s="961"/>
      <c r="N506" s="961"/>
      <c r="O506" s="961">
        <v>297.23200000000003</v>
      </c>
      <c r="P506" s="962"/>
      <c r="Q506" s="962">
        <v>297.23200000000003</v>
      </c>
      <c r="R506" s="961"/>
      <c r="S506" s="961"/>
      <c r="T506" s="961"/>
      <c r="U506" s="961"/>
      <c r="V506" s="963"/>
      <c r="W506" s="963"/>
      <c r="X506" s="963"/>
    </row>
    <row r="507" spans="1:24" s="837" customFormat="1" ht="37.5">
      <c r="A507" s="959"/>
      <c r="B507" s="964" t="s">
        <v>2125</v>
      </c>
      <c r="C507" s="961"/>
      <c r="D507" s="961"/>
      <c r="E507" s="961"/>
      <c r="F507" s="961"/>
      <c r="G507" s="961"/>
      <c r="H507" s="961"/>
      <c r="I507" s="961"/>
      <c r="J507" s="944">
        <v>297.23200000000003</v>
      </c>
      <c r="K507" s="961"/>
      <c r="L507" s="961"/>
      <c r="M507" s="961"/>
      <c r="N507" s="961"/>
      <c r="O507" s="961">
        <v>297.23200000000003</v>
      </c>
      <c r="P507" s="962"/>
      <c r="Q507" s="962">
        <v>297.23200000000003</v>
      </c>
      <c r="R507" s="961"/>
      <c r="S507" s="961"/>
      <c r="T507" s="961"/>
      <c r="U507" s="961"/>
      <c r="V507" s="963"/>
      <c r="W507" s="963"/>
      <c r="X507" s="963"/>
    </row>
    <row r="508" spans="1:24" s="837" customFormat="1">
      <c r="A508" s="959"/>
      <c r="B508" s="964" t="s">
        <v>1694</v>
      </c>
      <c r="C508" s="961"/>
      <c r="D508" s="961"/>
      <c r="E508" s="961"/>
      <c r="F508" s="961"/>
      <c r="G508" s="961"/>
      <c r="H508" s="961"/>
      <c r="I508" s="961"/>
      <c r="J508" s="944">
        <v>3710.6187500000001</v>
      </c>
      <c r="K508" s="961"/>
      <c r="L508" s="961"/>
      <c r="M508" s="961"/>
      <c r="N508" s="961"/>
      <c r="O508" s="961">
        <v>3710.6187500000001</v>
      </c>
      <c r="P508" s="962"/>
      <c r="Q508" s="962">
        <v>3710.6187500000001</v>
      </c>
      <c r="R508" s="961"/>
      <c r="S508" s="961"/>
      <c r="T508" s="961"/>
      <c r="U508" s="961"/>
      <c r="V508" s="963"/>
      <c r="W508" s="963"/>
      <c r="X508" s="963"/>
    </row>
    <row r="509" spans="1:24" s="837" customFormat="1">
      <c r="A509" s="959"/>
      <c r="B509" s="964" t="s">
        <v>2126</v>
      </c>
      <c r="C509" s="961"/>
      <c r="D509" s="961"/>
      <c r="E509" s="961"/>
      <c r="F509" s="961"/>
      <c r="G509" s="961"/>
      <c r="H509" s="961"/>
      <c r="I509" s="961"/>
      <c r="J509" s="944">
        <v>3710.6187500000001</v>
      </c>
      <c r="K509" s="961"/>
      <c r="L509" s="961"/>
      <c r="M509" s="961"/>
      <c r="N509" s="961"/>
      <c r="O509" s="961">
        <v>3710.6187500000001</v>
      </c>
      <c r="P509" s="962"/>
      <c r="Q509" s="962">
        <v>3710.6187500000001</v>
      </c>
      <c r="R509" s="961"/>
      <c r="S509" s="961"/>
      <c r="T509" s="961"/>
      <c r="U509" s="961"/>
      <c r="V509" s="963"/>
      <c r="W509" s="963"/>
      <c r="X509" s="963"/>
    </row>
    <row r="510" spans="1:24" s="837" customFormat="1">
      <c r="A510" s="959"/>
      <c r="B510" s="964" t="s">
        <v>2255</v>
      </c>
      <c r="C510" s="961"/>
      <c r="D510" s="961"/>
      <c r="E510" s="961"/>
      <c r="F510" s="961"/>
      <c r="G510" s="961"/>
      <c r="H510" s="961"/>
      <c r="I510" s="961"/>
      <c r="J510" s="944">
        <v>250</v>
      </c>
      <c r="K510" s="961"/>
      <c r="L510" s="961"/>
      <c r="M510" s="961"/>
      <c r="N510" s="961"/>
      <c r="O510" s="961">
        <v>250</v>
      </c>
      <c r="P510" s="962"/>
      <c r="Q510" s="962">
        <v>250</v>
      </c>
      <c r="R510" s="961"/>
      <c r="S510" s="961"/>
      <c r="T510" s="961"/>
      <c r="U510" s="961"/>
      <c r="V510" s="963"/>
      <c r="W510" s="963"/>
      <c r="X510" s="963"/>
    </row>
    <row r="511" spans="1:24" s="837" customFormat="1" ht="37.5">
      <c r="A511" s="959"/>
      <c r="B511" s="964" t="s">
        <v>2128</v>
      </c>
      <c r="C511" s="961"/>
      <c r="D511" s="961"/>
      <c r="E511" s="961"/>
      <c r="F511" s="961"/>
      <c r="G511" s="961"/>
      <c r="H511" s="961"/>
      <c r="I511" s="961"/>
      <c r="J511" s="944">
        <v>250</v>
      </c>
      <c r="K511" s="961"/>
      <c r="L511" s="961"/>
      <c r="M511" s="961"/>
      <c r="N511" s="961"/>
      <c r="O511" s="961">
        <v>250</v>
      </c>
      <c r="P511" s="962"/>
      <c r="Q511" s="962">
        <v>250</v>
      </c>
      <c r="R511" s="961"/>
      <c r="S511" s="961"/>
      <c r="T511" s="961"/>
      <c r="U511" s="961"/>
      <c r="V511" s="963"/>
      <c r="W511" s="963"/>
      <c r="X511" s="963"/>
    </row>
    <row r="512" spans="1:24" s="837" customFormat="1" ht="37.5">
      <c r="A512" s="959"/>
      <c r="B512" s="964" t="s">
        <v>2496</v>
      </c>
      <c r="C512" s="961"/>
      <c r="D512" s="961"/>
      <c r="E512" s="961"/>
      <c r="F512" s="961"/>
      <c r="G512" s="961"/>
      <c r="H512" s="961"/>
      <c r="I512" s="961"/>
      <c r="J512" s="944">
        <v>330</v>
      </c>
      <c r="K512" s="961"/>
      <c r="L512" s="961">
        <v>0</v>
      </c>
      <c r="M512" s="961"/>
      <c r="N512" s="961"/>
      <c r="O512" s="961">
        <v>330</v>
      </c>
      <c r="P512" s="962"/>
      <c r="Q512" s="962">
        <v>330</v>
      </c>
      <c r="R512" s="961"/>
      <c r="S512" s="961"/>
      <c r="T512" s="961"/>
      <c r="U512" s="961"/>
      <c r="V512" s="963"/>
      <c r="W512" s="963"/>
      <c r="X512" s="963"/>
    </row>
    <row r="513" spans="1:24" s="837" customFormat="1" ht="37.5">
      <c r="A513" s="959"/>
      <c r="B513" s="964" t="s">
        <v>2130</v>
      </c>
      <c r="C513" s="961"/>
      <c r="D513" s="961"/>
      <c r="E513" s="961"/>
      <c r="F513" s="961"/>
      <c r="G513" s="961"/>
      <c r="H513" s="961"/>
      <c r="I513" s="961"/>
      <c r="J513" s="944">
        <v>330</v>
      </c>
      <c r="K513" s="961"/>
      <c r="L513" s="961">
        <v>0</v>
      </c>
      <c r="M513" s="961"/>
      <c r="N513" s="961"/>
      <c r="O513" s="961">
        <v>330</v>
      </c>
      <c r="P513" s="962"/>
      <c r="Q513" s="962">
        <v>330</v>
      </c>
      <c r="R513" s="961"/>
      <c r="S513" s="961"/>
      <c r="T513" s="961"/>
      <c r="U513" s="961"/>
      <c r="V513" s="963"/>
      <c r="W513" s="963"/>
      <c r="X513" s="963"/>
    </row>
    <row r="514" spans="1:24" s="837" customFormat="1">
      <c r="A514" s="959"/>
      <c r="B514" s="964" t="s">
        <v>1665</v>
      </c>
      <c r="C514" s="961"/>
      <c r="D514" s="961"/>
      <c r="E514" s="961"/>
      <c r="F514" s="961"/>
      <c r="G514" s="961"/>
      <c r="H514" s="961"/>
      <c r="I514" s="961"/>
      <c r="J514" s="944">
        <v>4697.3577699999996</v>
      </c>
      <c r="K514" s="961"/>
      <c r="L514" s="961">
        <v>0</v>
      </c>
      <c r="M514" s="961"/>
      <c r="N514" s="961"/>
      <c r="O514" s="961">
        <v>4697.3577699999996</v>
      </c>
      <c r="P514" s="962"/>
      <c r="Q514" s="962">
        <v>4697.3577699999996</v>
      </c>
      <c r="R514" s="961"/>
      <c r="S514" s="961"/>
      <c r="T514" s="961"/>
      <c r="U514" s="961"/>
      <c r="V514" s="963"/>
      <c r="W514" s="963"/>
      <c r="X514" s="963"/>
    </row>
    <row r="515" spans="1:24" s="837" customFormat="1" ht="37.5">
      <c r="A515" s="959"/>
      <c r="B515" s="964" t="s">
        <v>2133</v>
      </c>
      <c r="C515" s="961"/>
      <c r="D515" s="961"/>
      <c r="E515" s="961"/>
      <c r="F515" s="961"/>
      <c r="G515" s="961"/>
      <c r="H515" s="961"/>
      <c r="I515" s="961"/>
      <c r="J515" s="944">
        <v>4697.3577699999996</v>
      </c>
      <c r="K515" s="961"/>
      <c r="L515" s="961">
        <v>0</v>
      </c>
      <c r="M515" s="961"/>
      <c r="N515" s="961"/>
      <c r="O515" s="961">
        <v>4697.3577699999996</v>
      </c>
      <c r="P515" s="962"/>
      <c r="Q515" s="962">
        <v>4697.3577699999996</v>
      </c>
      <c r="R515" s="961"/>
      <c r="S515" s="961"/>
      <c r="T515" s="961"/>
      <c r="U515" s="961"/>
      <c r="V515" s="963"/>
      <c r="W515" s="963"/>
      <c r="X515" s="963"/>
    </row>
    <row r="516" spans="1:24" s="837" customFormat="1">
      <c r="A516" s="959"/>
      <c r="B516" s="964" t="s">
        <v>1960</v>
      </c>
      <c r="C516" s="961"/>
      <c r="D516" s="961"/>
      <c r="E516" s="961"/>
      <c r="F516" s="961"/>
      <c r="G516" s="961"/>
      <c r="H516" s="961"/>
      <c r="I516" s="961"/>
      <c r="J516" s="944">
        <v>278.11399999999998</v>
      </c>
      <c r="K516" s="961"/>
      <c r="L516" s="961"/>
      <c r="M516" s="961"/>
      <c r="N516" s="961"/>
      <c r="O516" s="961">
        <v>278.11399999999998</v>
      </c>
      <c r="P516" s="962"/>
      <c r="Q516" s="962">
        <v>278.11399999999998</v>
      </c>
      <c r="R516" s="961"/>
      <c r="S516" s="961"/>
      <c r="T516" s="961"/>
      <c r="U516" s="961"/>
      <c r="V516" s="963"/>
      <c r="W516" s="963"/>
      <c r="X516" s="963"/>
    </row>
    <row r="517" spans="1:24" s="837" customFormat="1">
      <c r="A517" s="959"/>
      <c r="B517" s="964" t="s">
        <v>2134</v>
      </c>
      <c r="C517" s="961"/>
      <c r="D517" s="961"/>
      <c r="E517" s="961"/>
      <c r="F517" s="961"/>
      <c r="G517" s="961"/>
      <c r="H517" s="961"/>
      <c r="I517" s="961"/>
      <c r="J517" s="944">
        <v>278.11399999999998</v>
      </c>
      <c r="K517" s="961"/>
      <c r="L517" s="961"/>
      <c r="M517" s="961"/>
      <c r="N517" s="961"/>
      <c r="O517" s="961">
        <v>278.11399999999998</v>
      </c>
      <c r="P517" s="962"/>
      <c r="Q517" s="962">
        <v>278.11399999999998</v>
      </c>
      <c r="R517" s="961"/>
      <c r="S517" s="961"/>
      <c r="T517" s="961"/>
      <c r="U517" s="961"/>
      <c r="V517" s="963"/>
      <c r="W517" s="963"/>
      <c r="X517" s="963"/>
    </row>
    <row r="518" spans="1:24" s="837" customFormat="1">
      <c r="A518" s="959"/>
      <c r="B518" s="964" t="s">
        <v>2192</v>
      </c>
      <c r="C518" s="961"/>
      <c r="D518" s="961"/>
      <c r="E518" s="961"/>
      <c r="F518" s="961"/>
      <c r="G518" s="961"/>
      <c r="H518" s="961"/>
      <c r="I518" s="961"/>
      <c r="J518" s="944">
        <v>200</v>
      </c>
      <c r="K518" s="961"/>
      <c r="L518" s="961"/>
      <c r="M518" s="961"/>
      <c r="N518" s="961"/>
      <c r="O518" s="961">
        <v>200</v>
      </c>
      <c r="P518" s="962"/>
      <c r="Q518" s="962">
        <v>200</v>
      </c>
      <c r="R518" s="961"/>
      <c r="S518" s="961"/>
      <c r="T518" s="961"/>
      <c r="U518" s="961"/>
      <c r="V518" s="963"/>
      <c r="W518" s="963"/>
      <c r="X518" s="963"/>
    </row>
    <row r="519" spans="1:24" s="837" customFormat="1" ht="37.5">
      <c r="A519" s="959"/>
      <c r="B519" s="964" t="s">
        <v>2135</v>
      </c>
      <c r="C519" s="961"/>
      <c r="D519" s="961"/>
      <c r="E519" s="961"/>
      <c r="F519" s="961"/>
      <c r="G519" s="961"/>
      <c r="H519" s="961"/>
      <c r="I519" s="961"/>
      <c r="J519" s="944">
        <v>200</v>
      </c>
      <c r="K519" s="961"/>
      <c r="L519" s="961"/>
      <c r="M519" s="961"/>
      <c r="N519" s="961"/>
      <c r="O519" s="961">
        <v>200</v>
      </c>
      <c r="P519" s="962"/>
      <c r="Q519" s="962">
        <v>200</v>
      </c>
      <c r="R519" s="961"/>
      <c r="S519" s="961"/>
      <c r="T519" s="961"/>
      <c r="U519" s="961"/>
      <c r="V519" s="963"/>
      <c r="W519" s="963"/>
      <c r="X519" s="963"/>
    </row>
    <row r="520" spans="1:24" s="837" customFormat="1">
      <c r="A520" s="959"/>
      <c r="B520" s="964" t="s">
        <v>2520</v>
      </c>
      <c r="C520" s="961"/>
      <c r="D520" s="961"/>
      <c r="E520" s="961"/>
      <c r="F520" s="961"/>
      <c r="G520" s="961"/>
      <c r="H520" s="961"/>
      <c r="I520" s="961"/>
      <c r="J520" s="944">
        <v>6239.9705999999996</v>
      </c>
      <c r="K520" s="961"/>
      <c r="L520" s="961"/>
      <c r="M520" s="961"/>
      <c r="N520" s="961"/>
      <c r="O520" s="961">
        <v>6239.9705999999996</v>
      </c>
      <c r="P520" s="962"/>
      <c r="Q520" s="962">
        <v>6239.9705999999996</v>
      </c>
      <c r="R520" s="961"/>
      <c r="S520" s="961"/>
      <c r="T520" s="961"/>
      <c r="U520" s="961"/>
      <c r="V520" s="963"/>
      <c r="W520" s="963"/>
      <c r="X520" s="963"/>
    </row>
    <row r="521" spans="1:24" s="837" customFormat="1" ht="37.5">
      <c r="A521" s="959"/>
      <c r="B521" s="964" t="s">
        <v>2149</v>
      </c>
      <c r="C521" s="961"/>
      <c r="D521" s="961"/>
      <c r="E521" s="961"/>
      <c r="F521" s="961"/>
      <c r="G521" s="961"/>
      <c r="H521" s="961"/>
      <c r="I521" s="961"/>
      <c r="J521" s="944">
        <v>1387.2234000000001</v>
      </c>
      <c r="K521" s="961"/>
      <c r="L521" s="961"/>
      <c r="M521" s="961"/>
      <c r="N521" s="961"/>
      <c r="O521" s="961">
        <v>1387.2234000000001</v>
      </c>
      <c r="P521" s="962"/>
      <c r="Q521" s="962">
        <v>1387.2234000000001</v>
      </c>
      <c r="R521" s="961"/>
      <c r="S521" s="961"/>
      <c r="T521" s="961"/>
      <c r="U521" s="961"/>
      <c r="V521" s="963"/>
      <c r="W521" s="963"/>
      <c r="X521" s="963"/>
    </row>
    <row r="522" spans="1:24" s="837" customFormat="1">
      <c r="A522" s="959"/>
      <c r="B522" s="964" t="s">
        <v>2151</v>
      </c>
      <c r="C522" s="961"/>
      <c r="D522" s="961"/>
      <c r="E522" s="961"/>
      <c r="F522" s="961"/>
      <c r="G522" s="961"/>
      <c r="H522" s="961"/>
      <c r="I522" s="961"/>
      <c r="J522" s="944">
        <v>630</v>
      </c>
      <c r="K522" s="961"/>
      <c r="L522" s="961"/>
      <c r="M522" s="961"/>
      <c r="N522" s="961"/>
      <c r="O522" s="961">
        <v>630</v>
      </c>
      <c r="P522" s="962"/>
      <c r="Q522" s="962">
        <v>630</v>
      </c>
      <c r="R522" s="961"/>
      <c r="S522" s="961"/>
      <c r="T522" s="961"/>
      <c r="U522" s="961"/>
      <c r="V522" s="963"/>
      <c r="W522" s="963"/>
      <c r="X522" s="963"/>
    </row>
    <row r="523" spans="1:24" s="837" customFormat="1" ht="37.5">
      <c r="A523" s="959"/>
      <c r="B523" s="964" t="s">
        <v>2173</v>
      </c>
      <c r="C523" s="961"/>
      <c r="D523" s="961"/>
      <c r="E523" s="961"/>
      <c r="F523" s="961"/>
      <c r="G523" s="961"/>
      <c r="H523" s="961"/>
      <c r="I523" s="961"/>
      <c r="J523" s="944">
        <v>4222.7471999999998</v>
      </c>
      <c r="K523" s="961"/>
      <c r="L523" s="961"/>
      <c r="M523" s="961"/>
      <c r="N523" s="961"/>
      <c r="O523" s="961">
        <v>4222.7471999999998</v>
      </c>
      <c r="P523" s="962"/>
      <c r="Q523" s="962">
        <v>4222.7471999999998</v>
      </c>
      <c r="R523" s="961"/>
      <c r="S523" s="961"/>
      <c r="T523" s="961"/>
      <c r="U523" s="961"/>
      <c r="V523" s="963"/>
      <c r="W523" s="963"/>
      <c r="X523" s="963"/>
    </row>
    <row r="524" spans="1:24" s="968" customFormat="1" ht="57.75" customHeight="1">
      <c r="A524" s="942" t="s">
        <v>19</v>
      </c>
      <c r="B524" s="966" t="s">
        <v>1682</v>
      </c>
      <c r="C524" s="944"/>
      <c r="D524" s="944"/>
      <c r="E524" s="944"/>
      <c r="F524" s="944">
        <v>5176</v>
      </c>
      <c r="G524" s="944"/>
      <c r="H524" s="944"/>
      <c r="I524" s="944"/>
      <c r="J524" s="944">
        <v>4628.143</v>
      </c>
      <c r="K524" s="944"/>
      <c r="L524" s="944">
        <v>0</v>
      </c>
      <c r="M524" s="944">
        <v>4628.143</v>
      </c>
      <c r="N524" s="944"/>
      <c r="O524" s="944"/>
      <c r="P524" s="945"/>
      <c r="Q524" s="945">
        <v>0</v>
      </c>
      <c r="R524" s="944"/>
      <c r="S524" s="944"/>
      <c r="T524" s="944"/>
      <c r="U524" s="944"/>
      <c r="V524" s="967"/>
      <c r="W524" s="967"/>
      <c r="X524" s="967"/>
    </row>
    <row r="525" spans="1:24" s="968" customFormat="1" ht="50.25" customHeight="1">
      <c r="A525" s="942" t="s">
        <v>23</v>
      </c>
      <c r="B525" s="966" t="s">
        <v>1683</v>
      </c>
      <c r="C525" s="944"/>
      <c r="D525" s="944"/>
      <c r="E525" s="944"/>
      <c r="F525" s="944"/>
      <c r="G525" s="944">
        <v>1000</v>
      </c>
      <c r="H525" s="944"/>
      <c r="I525" s="944"/>
      <c r="J525" s="944">
        <v>1437</v>
      </c>
      <c r="K525" s="944"/>
      <c r="L525" s="944">
        <v>437</v>
      </c>
      <c r="M525" s="944"/>
      <c r="N525" s="944">
        <v>1000</v>
      </c>
      <c r="O525" s="944"/>
      <c r="P525" s="945"/>
      <c r="Q525" s="945">
        <v>0</v>
      </c>
      <c r="R525" s="944"/>
      <c r="S525" s="944"/>
      <c r="T525" s="944"/>
      <c r="U525" s="944"/>
      <c r="V525" s="967"/>
      <c r="W525" s="967"/>
      <c r="X525" s="967"/>
    </row>
    <row r="526" spans="1:24" s="968" customFormat="1" ht="42.75" customHeight="1">
      <c r="A526" s="942" t="s">
        <v>24</v>
      </c>
      <c r="B526" s="966" t="s">
        <v>1684</v>
      </c>
      <c r="C526" s="944"/>
      <c r="D526" s="944"/>
      <c r="E526" s="944"/>
      <c r="F526" s="944"/>
      <c r="G526" s="944"/>
      <c r="H526" s="944">
        <v>85523</v>
      </c>
      <c r="I526" s="944"/>
      <c r="J526" s="944">
        <v>0</v>
      </c>
      <c r="K526" s="944"/>
      <c r="L526" s="944">
        <v>0</v>
      </c>
      <c r="M526" s="944"/>
      <c r="N526" s="944"/>
      <c r="O526" s="944"/>
      <c r="P526" s="945"/>
      <c r="Q526" s="945">
        <v>0</v>
      </c>
      <c r="R526" s="944"/>
      <c r="S526" s="944"/>
      <c r="T526" s="944"/>
      <c r="U526" s="944"/>
      <c r="V526" s="967"/>
      <c r="W526" s="967"/>
      <c r="X526" s="967"/>
    </row>
    <row r="527" spans="1:24" s="968" customFormat="1" ht="48" customHeight="1">
      <c r="A527" s="942" t="s">
        <v>26</v>
      </c>
      <c r="B527" s="966" t="s">
        <v>1685</v>
      </c>
      <c r="C527" s="944"/>
      <c r="D527" s="944"/>
      <c r="E527" s="944"/>
      <c r="F527" s="944"/>
      <c r="G527" s="944"/>
      <c r="H527" s="944">
        <v>98487</v>
      </c>
      <c r="I527" s="944"/>
      <c r="J527" s="944">
        <v>160</v>
      </c>
      <c r="K527" s="944"/>
      <c r="L527" s="944">
        <v>160</v>
      </c>
      <c r="M527" s="944"/>
      <c r="N527" s="944"/>
      <c r="O527" s="944"/>
      <c r="P527" s="945"/>
      <c r="Q527" s="945">
        <v>0</v>
      </c>
      <c r="R527" s="944"/>
      <c r="S527" s="944"/>
      <c r="T527" s="944"/>
      <c r="U527" s="944"/>
      <c r="V527" s="967"/>
      <c r="W527" s="967"/>
      <c r="X527" s="967"/>
    </row>
    <row r="528" spans="1:24" s="968" customFormat="1" ht="33" customHeight="1">
      <c r="A528" s="942" t="s">
        <v>128</v>
      </c>
      <c r="B528" s="966" t="s">
        <v>2178</v>
      </c>
      <c r="C528" s="944"/>
      <c r="D528" s="944"/>
      <c r="E528" s="944"/>
      <c r="F528" s="944"/>
      <c r="G528" s="944"/>
      <c r="H528" s="944"/>
      <c r="I528" s="944">
        <v>2245948</v>
      </c>
      <c r="J528" s="944">
        <v>0</v>
      </c>
      <c r="K528" s="944"/>
      <c r="L528" s="944">
        <v>0</v>
      </c>
      <c r="M528" s="944"/>
      <c r="N528" s="944"/>
      <c r="O528" s="944"/>
      <c r="P528" s="945"/>
      <c r="Q528" s="945">
        <v>0</v>
      </c>
      <c r="R528" s="944">
        <v>1571626.3517519999</v>
      </c>
      <c r="S528" s="944"/>
      <c r="T528" s="944"/>
      <c r="U528" s="944"/>
      <c r="V528" s="967"/>
      <c r="W528" s="967"/>
      <c r="X528" s="967"/>
    </row>
    <row r="529" spans="1:24" s="968" customFormat="1" ht="57.75" customHeight="1">
      <c r="A529" s="942" t="s">
        <v>156</v>
      </c>
      <c r="B529" s="966" t="s">
        <v>1686</v>
      </c>
      <c r="C529" s="944"/>
      <c r="D529" s="944"/>
      <c r="E529" s="944"/>
      <c r="F529" s="944"/>
      <c r="G529" s="944"/>
      <c r="H529" s="944"/>
      <c r="I529" s="944"/>
      <c r="J529" s="944">
        <v>2852715.2797119999</v>
      </c>
      <c r="K529" s="944"/>
      <c r="L529" s="944">
        <v>56355</v>
      </c>
      <c r="M529" s="944"/>
      <c r="N529" s="944"/>
      <c r="O529" s="944"/>
      <c r="P529" s="945"/>
      <c r="Q529" s="945">
        <v>0</v>
      </c>
      <c r="R529" s="944"/>
      <c r="S529" s="944">
        <v>2796360.2797119999</v>
      </c>
      <c r="T529" s="944"/>
      <c r="U529" s="944"/>
      <c r="V529" s="967"/>
      <c r="W529" s="967"/>
      <c r="X529" s="967"/>
    </row>
    <row r="530" spans="1:24" s="973" customFormat="1" ht="37.5">
      <c r="A530" s="969" t="s">
        <v>228</v>
      </c>
      <c r="B530" s="970" t="s">
        <v>1173</v>
      </c>
      <c r="C530" s="971"/>
      <c r="D530" s="971"/>
      <c r="E530" s="971"/>
      <c r="F530" s="971"/>
      <c r="G530" s="971"/>
      <c r="H530" s="971"/>
      <c r="I530" s="971"/>
      <c r="J530" s="944">
        <v>12448.4252</v>
      </c>
      <c r="K530" s="971"/>
      <c r="L530" s="944">
        <v>12448.4252</v>
      </c>
      <c r="M530" s="971"/>
      <c r="N530" s="971"/>
      <c r="O530" s="971"/>
      <c r="P530" s="971"/>
      <c r="Q530" s="945">
        <v>0</v>
      </c>
      <c r="R530" s="971"/>
      <c r="S530" s="971"/>
      <c r="T530" s="972">
        <v>301772.229811</v>
      </c>
      <c r="U530" s="971"/>
      <c r="V530" s="970"/>
      <c r="W530" s="970"/>
      <c r="X530" s="970"/>
    </row>
    <row r="531" spans="1:24">
      <c r="A531" s="935"/>
    </row>
    <row r="532" spans="1:24">
      <c r="A532" s="935"/>
    </row>
  </sheetData>
  <autoFilter ref="A14:X530">
    <sortState xmlns:xlrd2="http://schemas.microsoft.com/office/spreadsheetml/2017/richdata2" ref="A53:X53">
      <sortCondition descending="1" ref="B14:B326"/>
    </sortState>
  </autoFilter>
  <mergeCells count="27">
    <mergeCell ref="X6:X7"/>
    <mergeCell ref="M6:M7"/>
    <mergeCell ref="H6:H7"/>
    <mergeCell ref="J5:U5"/>
    <mergeCell ref="U6:U7"/>
    <mergeCell ref="W6:W7"/>
    <mergeCell ref="I6:I7"/>
    <mergeCell ref="C5:I5"/>
    <mergeCell ref="D6:D7"/>
    <mergeCell ref="V6:V7"/>
    <mergeCell ref="S6:S7"/>
    <mergeCell ref="J6:J7"/>
    <mergeCell ref="O6:Q6"/>
    <mergeCell ref="L6:L7"/>
    <mergeCell ref="F6:F7"/>
    <mergeCell ref="G6:G7"/>
    <mergeCell ref="R6:R7"/>
    <mergeCell ref="T6:T7"/>
    <mergeCell ref="A2:X2"/>
    <mergeCell ref="A3:X3"/>
    <mergeCell ref="A5:A7"/>
    <mergeCell ref="B5:B7"/>
    <mergeCell ref="V5:X5"/>
    <mergeCell ref="C6:C7"/>
    <mergeCell ref="N6:N7"/>
    <mergeCell ref="E6:E7"/>
    <mergeCell ref="K6:K7"/>
  </mergeCells>
  <pageMargins left="0.196850393700787" right="0.19685039400000001" top="0.44685039399999998" bottom="0.32874015699999998" header="0.31496062992126" footer="0.31496062992126"/>
  <pageSetup paperSize="8" scale="55"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9"/>
  <sheetViews>
    <sheetView zoomScale="70" zoomScaleNormal="70" workbookViewId="0">
      <pane xSplit="2" ySplit="9" topLeftCell="C248" activePane="bottomRight" state="frozen"/>
      <selection pane="topRight" activeCell="C1" sqref="C1"/>
      <selection pane="bottomLeft" activeCell="A10" sqref="A10"/>
      <selection pane="bottomRight" sqref="A1:IV65536"/>
    </sheetView>
  </sheetViews>
  <sheetFormatPr defaultColWidth="9.125" defaultRowHeight="15.75"/>
  <cols>
    <col min="1" max="1" width="6" style="181" customWidth="1"/>
    <col min="2" max="2" width="32.75" style="181" customWidth="1"/>
    <col min="3" max="3" width="14.875" style="181" customWidth="1"/>
    <col min="4" max="4" width="15.875" style="181" customWidth="1"/>
    <col min="5" max="5" width="13.375" style="181" customWidth="1"/>
    <col min="6" max="7" width="13.875" style="181" customWidth="1"/>
    <col min="8" max="8" width="13.375" style="181" customWidth="1"/>
    <col min="9" max="9" width="13" style="181" customWidth="1"/>
    <col min="10" max="10" width="13.75" style="181" customWidth="1"/>
    <col min="11" max="11" width="10.75" style="181" customWidth="1"/>
    <col min="12" max="12" width="12.125" style="181" customWidth="1"/>
    <col min="13" max="13" width="12.625" style="181" customWidth="1"/>
    <col min="14" max="14" width="13" style="181" customWidth="1"/>
    <col min="15" max="15" width="11.25" style="181" customWidth="1"/>
    <col min="16" max="16" width="11.625" style="181" customWidth="1"/>
    <col min="17" max="18" width="13" style="181" customWidth="1"/>
    <col min="19" max="19" width="15.875" style="181" customWidth="1"/>
    <col min="20" max="20" width="13.125" style="181" hidden="1" customWidth="1"/>
    <col min="21" max="21" width="13" style="181" customWidth="1"/>
    <col min="22" max="22" width="9.25" style="181" customWidth="1"/>
    <col min="23" max="23" width="12.25" style="181" customWidth="1"/>
    <col min="24" max="24" width="9.75" style="181" customWidth="1"/>
    <col min="25" max="16384" width="9.125" style="181"/>
  </cols>
  <sheetData>
    <row r="1" spans="1:28">
      <c r="U1" s="1099" t="s">
        <v>157</v>
      </c>
      <c r="V1" s="1099"/>
      <c r="W1" s="1099"/>
    </row>
    <row r="2" spans="1:28" s="210" customFormat="1" ht="16.5" customHeight="1">
      <c r="C2" s="795"/>
      <c r="D2" s="795"/>
      <c r="E2" s="795"/>
      <c r="F2" s="795"/>
      <c r="G2" s="795"/>
      <c r="H2" s="796"/>
      <c r="I2" s="796"/>
      <c r="J2" s="796"/>
      <c r="K2" s="796"/>
      <c r="L2" s="796"/>
      <c r="M2" s="796"/>
      <c r="N2" s="796"/>
      <c r="O2" s="796"/>
      <c r="P2" s="796"/>
      <c r="Q2" s="796"/>
      <c r="R2" s="796"/>
      <c r="S2" s="796"/>
      <c r="T2" s="796"/>
      <c r="U2" s="796"/>
      <c r="V2" s="796"/>
      <c r="W2" s="796"/>
      <c r="X2" s="796"/>
      <c r="Y2" s="796"/>
    </row>
    <row r="3" spans="1:28" s="210" customFormat="1" ht="37.5" customHeight="1">
      <c r="A3" s="1103" t="s">
        <v>2404</v>
      </c>
      <c r="B3" s="1103"/>
      <c r="C3" s="1103"/>
      <c r="D3" s="1103"/>
      <c r="E3" s="1103"/>
      <c r="F3" s="1103"/>
      <c r="G3" s="1103"/>
      <c r="H3" s="1103"/>
      <c r="I3" s="1103"/>
      <c r="J3" s="1103"/>
      <c r="K3" s="1103"/>
      <c r="L3" s="1103"/>
      <c r="M3" s="1103"/>
      <c r="N3" s="1103"/>
      <c r="O3" s="1103"/>
      <c r="P3" s="1103"/>
      <c r="Q3" s="1103"/>
      <c r="R3" s="1103"/>
      <c r="S3" s="1103"/>
      <c r="T3" s="1103"/>
      <c r="U3" s="1103"/>
      <c r="V3" s="1103"/>
      <c r="W3" s="1103"/>
      <c r="X3" s="1103"/>
      <c r="Y3" s="1103"/>
      <c r="Z3" s="1103"/>
      <c r="AA3" s="1103"/>
      <c r="AB3" s="1103"/>
    </row>
    <row r="4" spans="1:28" s="210" customFormat="1" ht="25.5" customHeight="1">
      <c r="A4" s="1100" t="s">
        <v>2397</v>
      </c>
      <c r="B4" s="1100"/>
      <c r="C4" s="1100"/>
      <c r="D4" s="1100"/>
      <c r="E4" s="1100"/>
      <c r="F4" s="1100"/>
      <c r="G4" s="1100"/>
      <c r="H4" s="1100"/>
      <c r="I4" s="1100"/>
      <c r="J4" s="1100"/>
      <c r="K4" s="1100"/>
      <c r="L4" s="1100"/>
      <c r="M4" s="1100"/>
      <c r="N4" s="1100"/>
      <c r="O4" s="1100"/>
      <c r="P4" s="1100"/>
      <c r="Q4" s="1100"/>
      <c r="R4" s="1100"/>
      <c r="S4" s="1100"/>
      <c r="T4" s="1100"/>
      <c r="U4" s="1100"/>
      <c r="V4" s="1100"/>
      <c r="W4" s="1100"/>
      <c r="X4" s="1100"/>
      <c r="Y4" s="1100"/>
      <c r="Z4" s="1100"/>
      <c r="AA4" s="1100"/>
      <c r="AB4" s="1100"/>
    </row>
    <row r="5" spans="1:28">
      <c r="G5" s="575"/>
      <c r="H5" s="575"/>
      <c r="X5" s="797" t="s">
        <v>2177</v>
      </c>
    </row>
    <row r="6" spans="1:28" ht="15.75" customHeight="1">
      <c r="A6" s="1098" t="s">
        <v>3</v>
      </c>
      <c r="B6" s="1101" t="s">
        <v>152</v>
      </c>
      <c r="C6" s="1098" t="s">
        <v>4</v>
      </c>
      <c r="D6" s="1093" t="s">
        <v>144</v>
      </c>
      <c r="E6" s="1094"/>
      <c r="F6" s="1095"/>
      <c r="G6" s="1098" t="s">
        <v>5</v>
      </c>
      <c r="H6" s="1075" t="s">
        <v>1964</v>
      </c>
      <c r="I6" s="1075" t="s">
        <v>1965</v>
      </c>
      <c r="J6" s="1075" t="s">
        <v>131</v>
      </c>
      <c r="K6" s="1075" t="s">
        <v>1966</v>
      </c>
      <c r="L6" s="1075" t="s">
        <v>1967</v>
      </c>
      <c r="M6" s="1075" t="s">
        <v>1968</v>
      </c>
      <c r="N6" s="1075" t="s">
        <v>1969</v>
      </c>
      <c r="O6" s="1075" t="s">
        <v>1970</v>
      </c>
      <c r="P6" s="1075" t="s">
        <v>1971</v>
      </c>
      <c r="Q6" s="1075" t="s">
        <v>1972</v>
      </c>
      <c r="R6" s="1098" t="s">
        <v>158</v>
      </c>
      <c r="S6" s="1096"/>
      <c r="T6" s="199"/>
      <c r="U6" s="1075" t="s">
        <v>1973</v>
      </c>
      <c r="V6" s="1075" t="s">
        <v>1974</v>
      </c>
      <c r="W6" s="1075" t="s">
        <v>141</v>
      </c>
      <c r="X6" s="1075" t="s">
        <v>52</v>
      </c>
    </row>
    <row r="7" spans="1:28" ht="117.75" customHeight="1">
      <c r="A7" s="1096"/>
      <c r="B7" s="1102"/>
      <c r="C7" s="1096"/>
      <c r="D7" s="187" t="s">
        <v>2470</v>
      </c>
      <c r="E7" s="187" t="s">
        <v>2471</v>
      </c>
      <c r="F7" s="187" t="s">
        <v>2472</v>
      </c>
      <c r="G7" s="1096"/>
      <c r="H7" s="1096"/>
      <c r="I7" s="1096"/>
      <c r="J7" s="1096"/>
      <c r="K7" s="1096"/>
      <c r="L7" s="1096"/>
      <c r="M7" s="1097"/>
      <c r="N7" s="1096"/>
      <c r="O7" s="1096"/>
      <c r="P7" s="1097"/>
      <c r="Q7" s="1096"/>
      <c r="R7" s="187" t="s">
        <v>159</v>
      </c>
      <c r="S7" s="187" t="s">
        <v>1975</v>
      </c>
      <c r="T7" s="187" t="s">
        <v>1972</v>
      </c>
      <c r="U7" s="1096"/>
      <c r="V7" s="1097"/>
      <c r="W7" s="1096"/>
      <c r="X7" s="1096"/>
    </row>
    <row r="8" spans="1:28" s="529" customFormat="1">
      <c r="A8" s="794" t="s">
        <v>9</v>
      </c>
      <c r="B8" s="794" t="s">
        <v>10</v>
      </c>
      <c r="C8" s="794" t="s">
        <v>1883</v>
      </c>
      <c r="D8" s="794"/>
      <c r="E8" s="794"/>
      <c r="F8" s="794"/>
      <c r="G8" s="794" t="s">
        <v>1884</v>
      </c>
      <c r="H8" s="794" t="s">
        <v>1885</v>
      </c>
      <c r="I8" s="794" t="s">
        <v>1886</v>
      </c>
      <c r="J8" s="794" t="s">
        <v>1976</v>
      </c>
      <c r="K8" s="794" t="s">
        <v>1977</v>
      </c>
      <c r="L8" s="794" t="s">
        <v>1978</v>
      </c>
      <c r="M8" s="794" t="s">
        <v>1979</v>
      </c>
      <c r="N8" s="794" t="s">
        <v>1980</v>
      </c>
      <c r="O8" s="794" t="s">
        <v>1981</v>
      </c>
      <c r="P8" s="794" t="s">
        <v>1982</v>
      </c>
      <c r="Q8" s="794" t="s">
        <v>1983</v>
      </c>
      <c r="R8" s="794" t="s">
        <v>1984</v>
      </c>
      <c r="S8" s="794" t="s">
        <v>1985</v>
      </c>
      <c r="T8" s="794"/>
      <c r="U8" s="794" t="s">
        <v>1986</v>
      </c>
      <c r="V8" s="794" t="s">
        <v>1987</v>
      </c>
      <c r="W8" s="794" t="s">
        <v>1988</v>
      </c>
      <c r="X8" s="794" t="s">
        <v>161</v>
      </c>
    </row>
    <row r="9" spans="1:28" s="507" customFormat="1" ht="26.25" customHeight="1">
      <c r="A9" s="187"/>
      <c r="B9" s="187" t="s">
        <v>1150</v>
      </c>
      <c r="C9" s="841">
        <v>2504117.160189</v>
      </c>
      <c r="D9" s="841">
        <v>926610.30102799996</v>
      </c>
      <c r="E9" s="841">
        <v>615447.84021000005</v>
      </c>
      <c r="F9" s="841">
        <v>962059.01895099995</v>
      </c>
      <c r="G9" s="841">
        <v>734179.45652000001</v>
      </c>
      <c r="H9" s="841">
        <v>132775.785259</v>
      </c>
      <c r="I9" s="841">
        <v>8009.8019999999997</v>
      </c>
      <c r="J9" s="841">
        <v>38309.39</v>
      </c>
      <c r="K9" s="841">
        <v>6097.8445000000002</v>
      </c>
      <c r="L9" s="841">
        <v>46150.842649999999</v>
      </c>
      <c r="M9" s="841">
        <v>14189.02</v>
      </c>
      <c r="N9" s="841">
        <v>12550.116881</v>
      </c>
      <c r="O9" s="841">
        <v>9093.3889999999992</v>
      </c>
      <c r="P9" s="841">
        <v>7176.4618090000004</v>
      </c>
      <c r="Q9" s="841">
        <v>407725.12092100002</v>
      </c>
      <c r="R9" s="841">
        <v>5167.6499999999996</v>
      </c>
      <c r="S9" s="841">
        <v>43433.507709999998</v>
      </c>
      <c r="T9" s="841">
        <v>359123.96321100002</v>
      </c>
      <c r="U9" s="841">
        <v>20080.034500000002</v>
      </c>
      <c r="V9" s="841">
        <v>0</v>
      </c>
      <c r="W9" s="841">
        <v>2645.6489999999999</v>
      </c>
      <c r="X9" s="547"/>
    </row>
    <row r="10" spans="1:28" s="507" customFormat="1" ht="26.25" customHeight="1">
      <c r="A10" s="187"/>
      <c r="B10" s="187"/>
      <c r="C10" s="841"/>
      <c r="D10" s="841"/>
      <c r="E10" s="841"/>
      <c r="F10" s="841"/>
      <c r="G10" s="841"/>
      <c r="H10" s="841"/>
      <c r="I10" s="841"/>
      <c r="J10" s="841"/>
      <c r="K10" s="841"/>
      <c r="L10" s="841"/>
      <c r="M10" s="841"/>
      <c r="N10" s="841"/>
      <c r="O10" s="841"/>
      <c r="P10" s="841"/>
      <c r="Q10" s="841"/>
      <c r="R10" s="841"/>
      <c r="S10" s="841"/>
      <c r="T10" s="841"/>
      <c r="U10" s="841"/>
      <c r="V10" s="841"/>
      <c r="W10" s="841"/>
      <c r="X10" s="798"/>
    </row>
    <row r="11" spans="1:28" s="330" customFormat="1">
      <c r="A11" s="838" t="s">
        <v>1883</v>
      </c>
      <c r="B11" s="839" t="s">
        <v>453</v>
      </c>
      <c r="C11" s="842">
        <v>2500</v>
      </c>
      <c r="D11" s="842">
        <v>0</v>
      </c>
      <c r="E11" s="842">
        <v>2500</v>
      </c>
      <c r="F11" s="842">
        <v>0</v>
      </c>
      <c r="G11" s="842">
        <v>2053.027</v>
      </c>
      <c r="H11" s="842">
        <v>0</v>
      </c>
      <c r="I11" s="842">
        <v>0</v>
      </c>
      <c r="J11" s="842">
        <v>0</v>
      </c>
      <c r="K11" s="842">
        <v>0</v>
      </c>
      <c r="L11" s="842">
        <v>0</v>
      </c>
      <c r="M11" s="842">
        <v>0</v>
      </c>
      <c r="N11" s="842">
        <v>0</v>
      </c>
      <c r="O11" s="842">
        <v>0</v>
      </c>
      <c r="P11" s="842">
        <v>0</v>
      </c>
      <c r="Q11" s="842">
        <v>0</v>
      </c>
      <c r="R11" s="842">
        <v>0</v>
      </c>
      <c r="S11" s="842">
        <v>0</v>
      </c>
      <c r="T11" s="842">
        <v>0</v>
      </c>
      <c r="U11" s="842">
        <v>2053.027</v>
      </c>
      <c r="V11" s="842">
        <v>0</v>
      </c>
      <c r="W11" s="842">
        <v>0</v>
      </c>
      <c r="X11" s="985">
        <v>0.82121080000000002</v>
      </c>
    </row>
    <row r="12" spans="1:28" s="330" customFormat="1" ht="31.5">
      <c r="A12" s="838" t="s">
        <v>2469</v>
      </c>
      <c r="B12" s="840" t="s">
        <v>2524</v>
      </c>
      <c r="C12" s="842">
        <v>2500</v>
      </c>
      <c r="D12" s="842">
        <v>0</v>
      </c>
      <c r="E12" s="842">
        <v>2500</v>
      </c>
      <c r="F12" s="842">
        <v>0</v>
      </c>
      <c r="G12" s="842">
        <v>2053.027</v>
      </c>
      <c r="H12" s="842">
        <v>0</v>
      </c>
      <c r="I12" s="842">
        <v>0</v>
      </c>
      <c r="J12" s="842">
        <v>0</v>
      </c>
      <c r="K12" s="842">
        <v>0</v>
      </c>
      <c r="L12" s="842">
        <v>0</v>
      </c>
      <c r="M12" s="842">
        <v>0</v>
      </c>
      <c r="N12" s="842">
        <v>0</v>
      </c>
      <c r="O12" s="842">
        <v>0</v>
      </c>
      <c r="P12" s="842">
        <v>0</v>
      </c>
      <c r="Q12" s="842">
        <v>0</v>
      </c>
      <c r="R12" s="842">
        <v>0</v>
      </c>
      <c r="S12" s="842">
        <v>0</v>
      </c>
      <c r="T12" s="842">
        <v>0</v>
      </c>
      <c r="U12" s="842">
        <v>2053.027</v>
      </c>
      <c r="V12" s="842">
        <v>0</v>
      </c>
      <c r="W12" s="842">
        <v>0</v>
      </c>
      <c r="X12" s="985">
        <v>0.82121080000000002</v>
      </c>
    </row>
    <row r="13" spans="1:28" s="330" customFormat="1">
      <c r="A13" s="838" t="s">
        <v>1884</v>
      </c>
      <c r="B13" s="839" t="s">
        <v>2245</v>
      </c>
      <c r="C13" s="842">
        <v>35516.084000000003</v>
      </c>
      <c r="D13" s="842">
        <v>17470.096000000001</v>
      </c>
      <c r="E13" s="842">
        <v>3600</v>
      </c>
      <c r="F13" s="842">
        <v>14445.987999999999</v>
      </c>
      <c r="G13" s="842">
        <v>10303.987499999999</v>
      </c>
      <c r="H13" s="842">
        <v>0</v>
      </c>
      <c r="I13" s="842">
        <v>0</v>
      </c>
      <c r="J13" s="842">
        <v>0</v>
      </c>
      <c r="K13" s="842">
        <v>0</v>
      </c>
      <c r="L13" s="842">
        <v>0</v>
      </c>
      <c r="M13" s="842">
        <v>0</v>
      </c>
      <c r="N13" s="842">
        <v>0</v>
      </c>
      <c r="O13" s="842">
        <v>0</v>
      </c>
      <c r="P13" s="842">
        <v>0</v>
      </c>
      <c r="Q13" s="842">
        <v>10303.987499999999</v>
      </c>
      <c r="R13" s="842">
        <v>0</v>
      </c>
      <c r="S13" s="842">
        <v>6463.7984999999999</v>
      </c>
      <c r="T13" s="842">
        <v>3840.1889999999999</v>
      </c>
      <c r="U13" s="842">
        <v>0</v>
      </c>
      <c r="V13" s="842">
        <v>0</v>
      </c>
      <c r="W13" s="842">
        <v>0</v>
      </c>
      <c r="X13" s="985">
        <v>0.29012172344225784</v>
      </c>
    </row>
    <row r="14" spans="1:28" s="330" customFormat="1" ht="31.5">
      <c r="A14" s="838" t="s">
        <v>2469</v>
      </c>
      <c r="B14" s="840" t="s">
        <v>2273</v>
      </c>
      <c r="C14" s="842">
        <v>330.39499999999998</v>
      </c>
      <c r="D14" s="842">
        <v>0</v>
      </c>
      <c r="E14" s="842">
        <v>0</v>
      </c>
      <c r="F14" s="842">
        <v>330.39499999999998</v>
      </c>
      <c r="G14" s="842">
        <v>170.9605</v>
      </c>
      <c r="H14" s="842">
        <v>0</v>
      </c>
      <c r="I14" s="842">
        <v>0</v>
      </c>
      <c r="J14" s="842">
        <v>0</v>
      </c>
      <c r="K14" s="842">
        <v>0</v>
      </c>
      <c r="L14" s="842">
        <v>0</v>
      </c>
      <c r="M14" s="842">
        <v>0</v>
      </c>
      <c r="N14" s="842">
        <v>0</v>
      </c>
      <c r="O14" s="842">
        <v>0</v>
      </c>
      <c r="P14" s="842">
        <v>0</v>
      </c>
      <c r="Q14" s="842">
        <v>170.9605</v>
      </c>
      <c r="R14" s="842">
        <v>0</v>
      </c>
      <c r="S14" s="842">
        <v>170.9605</v>
      </c>
      <c r="T14" s="842">
        <v>0</v>
      </c>
      <c r="U14" s="842">
        <v>0</v>
      </c>
      <c r="V14" s="842">
        <v>0</v>
      </c>
      <c r="W14" s="842">
        <v>0</v>
      </c>
      <c r="X14" s="985">
        <v>0.51744275791098537</v>
      </c>
    </row>
    <row r="15" spans="1:28" s="330" customFormat="1" ht="31.5">
      <c r="A15" s="838" t="s">
        <v>2469</v>
      </c>
      <c r="B15" s="840" t="s">
        <v>2274</v>
      </c>
      <c r="C15" s="842">
        <v>30</v>
      </c>
      <c r="D15" s="842">
        <v>30</v>
      </c>
      <c r="E15" s="842">
        <v>0</v>
      </c>
      <c r="F15" s="842">
        <v>0</v>
      </c>
      <c r="G15" s="842">
        <v>30</v>
      </c>
      <c r="H15" s="842">
        <v>0</v>
      </c>
      <c r="I15" s="842">
        <v>0</v>
      </c>
      <c r="J15" s="842">
        <v>0</v>
      </c>
      <c r="K15" s="842">
        <v>0</v>
      </c>
      <c r="L15" s="842">
        <v>0</v>
      </c>
      <c r="M15" s="842">
        <v>0</v>
      </c>
      <c r="N15" s="842">
        <v>0</v>
      </c>
      <c r="O15" s="842">
        <v>0</v>
      </c>
      <c r="P15" s="842">
        <v>0</v>
      </c>
      <c r="Q15" s="842">
        <v>30</v>
      </c>
      <c r="R15" s="842">
        <v>0</v>
      </c>
      <c r="S15" s="842">
        <v>30</v>
      </c>
      <c r="T15" s="842">
        <v>0</v>
      </c>
      <c r="U15" s="842">
        <v>0</v>
      </c>
      <c r="V15" s="842">
        <v>0</v>
      </c>
      <c r="W15" s="842">
        <v>0</v>
      </c>
      <c r="X15" s="985">
        <v>1</v>
      </c>
    </row>
    <row r="16" spans="1:28" s="330" customFormat="1" ht="47.25">
      <c r="A16" s="838" t="s">
        <v>2469</v>
      </c>
      <c r="B16" s="840" t="s">
        <v>2276</v>
      </c>
      <c r="C16" s="842">
        <v>9583.0110000000004</v>
      </c>
      <c r="D16" s="842">
        <v>9583.0110000000004</v>
      </c>
      <c r="E16" s="842">
        <v>0</v>
      </c>
      <c r="F16" s="842">
        <v>0</v>
      </c>
      <c r="G16" s="842">
        <v>500</v>
      </c>
      <c r="H16" s="842">
        <v>0</v>
      </c>
      <c r="I16" s="842">
        <v>0</v>
      </c>
      <c r="J16" s="842">
        <v>0</v>
      </c>
      <c r="K16" s="842">
        <v>0</v>
      </c>
      <c r="L16" s="842">
        <v>0</v>
      </c>
      <c r="M16" s="842">
        <v>0</v>
      </c>
      <c r="N16" s="842">
        <v>0</v>
      </c>
      <c r="O16" s="842">
        <v>0</v>
      </c>
      <c r="P16" s="842">
        <v>0</v>
      </c>
      <c r="Q16" s="842">
        <v>500</v>
      </c>
      <c r="R16" s="842">
        <v>0</v>
      </c>
      <c r="S16" s="842">
        <v>0</v>
      </c>
      <c r="T16" s="842">
        <v>500</v>
      </c>
      <c r="U16" s="842">
        <v>0</v>
      </c>
      <c r="V16" s="842">
        <v>0</v>
      </c>
      <c r="W16" s="842">
        <v>0</v>
      </c>
      <c r="X16" s="985">
        <v>5.2175667960727583E-2</v>
      </c>
    </row>
    <row r="17" spans="1:24" s="330" customFormat="1" ht="63">
      <c r="A17" s="838" t="s">
        <v>2469</v>
      </c>
      <c r="B17" s="840" t="s">
        <v>2277</v>
      </c>
      <c r="C17" s="842">
        <v>20365.217000000001</v>
      </c>
      <c r="D17" s="842">
        <v>6249.6239999999998</v>
      </c>
      <c r="E17" s="842">
        <v>0</v>
      </c>
      <c r="F17" s="842">
        <v>14115.593000000001</v>
      </c>
      <c r="G17" s="842">
        <v>6262.8379999999997</v>
      </c>
      <c r="H17" s="842">
        <v>0</v>
      </c>
      <c r="I17" s="842">
        <v>0</v>
      </c>
      <c r="J17" s="842">
        <v>0</v>
      </c>
      <c r="K17" s="842">
        <v>0</v>
      </c>
      <c r="L17" s="842">
        <v>0</v>
      </c>
      <c r="M17" s="842">
        <v>0</v>
      </c>
      <c r="N17" s="842">
        <v>0</v>
      </c>
      <c r="O17" s="842">
        <v>0</v>
      </c>
      <c r="P17" s="842">
        <v>0</v>
      </c>
      <c r="Q17" s="842">
        <v>6262.8379999999997</v>
      </c>
      <c r="R17" s="842">
        <v>0</v>
      </c>
      <c r="S17" s="842">
        <v>6262.8379999999997</v>
      </c>
      <c r="T17" s="842">
        <v>0</v>
      </c>
      <c r="U17" s="842">
        <v>0</v>
      </c>
      <c r="V17" s="842">
        <v>0</v>
      </c>
      <c r="W17" s="842">
        <v>0</v>
      </c>
      <c r="X17" s="985">
        <v>0.30752621000797581</v>
      </c>
    </row>
    <row r="18" spans="1:24" s="330" customFormat="1" ht="47.25">
      <c r="A18" s="838" t="s">
        <v>2469</v>
      </c>
      <c r="B18" s="840" t="s">
        <v>2278</v>
      </c>
      <c r="C18" s="842">
        <v>5207.4610000000002</v>
      </c>
      <c r="D18" s="842">
        <v>1607.461</v>
      </c>
      <c r="E18" s="842">
        <v>3600</v>
      </c>
      <c r="F18" s="842">
        <v>0</v>
      </c>
      <c r="G18" s="842">
        <v>3340.1889999999999</v>
      </c>
      <c r="H18" s="842">
        <v>0</v>
      </c>
      <c r="I18" s="842">
        <v>0</v>
      </c>
      <c r="J18" s="842">
        <v>0</v>
      </c>
      <c r="K18" s="842">
        <v>0</v>
      </c>
      <c r="L18" s="842">
        <v>0</v>
      </c>
      <c r="M18" s="842">
        <v>0</v>
      </c>
      <c r="N18" s="842">
        <v>0</v>
      </c>
      <c r="O18" s="842">
        <v>0</v>
      </c>
      <c r="P18" s="842">
        <v>0</v>
      </c>
      <c r="Q18" s="842">
        <v>3340.1889999999999</v>
      </c>
      <c r="R18" s="842">
        <v>0</v>
      </c>
      <c r="S18" s="842">
        <v>0</v>
      </c>
      <c r="T18" s="842">
        <v>3340.1889999999999</v>
      </c>
      <c r="U18" s="842">
        <v>0</v>
      </c>
      <c r="V18" s="842">
        <v>0</v>
      </c>
      <c r="W18" s="842">
        <v>0</v>
      </c>
      <c r="X18" s="985">
        <v>0.64142371877581028</v>
      </c>
    </row>
    <row r="19" spans="1:24" s="330" customFormat="1">
      <c r="A19" s="838" t="s">
        <v>1885</v>
      </c>
      <c r="B19" s="840" t="s">
        <v>461</v>
      </c>
      <c r="C19" s="842">
        <v>499051.63900000002</v>
      </c>
      <c r="D19" s="842">
        <v>28677.510999999999</v>
      </c>
      <c r="E19" s="842">
        <v>35217</v>
      </c>
      <c r="F19" s="842">
        <v>435157.12800000003</v>
      </c>
      <c r="G19" s="842">
        <v>36424.873</v>
      </c>
      <c r="H19" s="842">
        <v>0</v>
      </c>
      <c r="I19" s="842">
        <v>0</v>
      </c>
      <c r="J19" s="842">
        <v>0</v>
      </c>
      <c r="K19" s="842">
        <v>0</v>
      </c>
      <c r="L19" s="842">
        <v>0</v>
      </c>
      <c r="M19" s="842">
        <v>0</v>
      </c>
      <c r="N19" s="842">
        <v>0</v>
      </c>
      <c r="O19" s="842">
        <v>0</v>
      </c>
      <c r="P19" s="842">
        <v>0</v>
      </c>
      <c r="Q19" s="842">
        <v>36424.873</v>
      </c>
      <c r="R19" s="842">
        <v>0</v>
      </c>
      <c r="S19" s="842">
        <v>0</v>
      </c>
      <c r="T19" s="842">
        <v>36424.873</v>
      </c>
      <c r="U19" s="842">
        <v>0</v>
      </c>
      <c r="V19" s="842">
        <v>0</v>
      </c>
      <c r="W19" s="842">
        <v>0</v>
      </c>
      <c r="X19" s="985">
        <v>7.2988184294892178E-2</v>
      </c>
    </row>
    <row r="20" spans="1:24" s="330" customFormat="1" ht="47.25">
      <c r="A20" s="838" t="s">
        <v>2469</v>
      </c>
      <c r="B20" s="840" t="s">
        <v>2525</v>
      </c>
      <c r="C20" s="842">
        <v>260725.321</v>
      </c>
      <c r="D20" s="842">
        <v>18231.321</v>
      </c>
      <c r="E20" s="842">
        <v>13000</v>
      </c>
      <c r="F20" s="842">
        <v>229494</v>
      </c>
      <c r="G20" s="842">
        <v>12807.869000000001</v>
      </c>
      <c r="H20" s="842">
        <v>0</v>
      </c>
      <c r="I20" s="842">
        <v>0</v>
      </c>
      <c r="J20" s="842">
        <v>0</v>
      </c>
      <c r="K20" s="842">
        <v>0</v>
      </c>
      <c r="L20" s="842">
        <v>0</v>
      </c>
      <c r="M20" s="842">
        <v>0</v>
      </c>
      <c r="N20" s="842">
        <v>0</v>
      </c>
      <c r="O20" s="842">
        <v>0</v>
      </c>
      <c r="P20" s="842">
        <v>0</v>
      </c>
      <c r="Q20" s="842">
        <v>12807.869000000001</v>
      </c>
      <c r="R20" s="842">
        <v>0</v>
      </c>
      <c r="S20" s="842">
        <v>0</v>
      </c>
      <c r="T20" s="842">
        <v>12807.869000000001</v>
      </c>
      <c r="U20" s="842">
        <v>0</v>
      </c>
      <c r="V20" s="842">
        <v>0</v>
      </c>
      <c r="W20" s="842">
        <v>0</v>
      </c>
      <c r="X20" s="985">
        <v>4.9123993599378871E-2</v>
      </c>
    </row>
    <row r="21" spans="1:24" s="330" customFormat="1" ht="31.5">
      <c r="A21" s="838" t="s">
        <v>2469</v>
      </c>
      <c r="B21" s="840" t="s">
        <v>2526</v>
      </c>
      <c r="C21" s="842">
        <v>223858.56400000001</v>
      </c>
      <c r="D21" s="842">
        <v>8695.4359999999997</v>
      </c>
      <c r="E21" s="842">
        <v>9500</v>
      </c>
      <c r="F21" s="842">
        <v>205663.128</v>
      </c>
      <c r="G21" s="842">
        <v>18740.674999999999</v>
      </c>
      <c r="H21" s="842">
        <v>0</v>
      </c>
      <c r="I21" s="842">
        <v>0</v>
      </c>
      <c r="J21" s="842">
        <v>0</v>
      </c>
      <c r="K21" s="842">
        <v>0</v>
      </c>
      <c r="L21" s="842">
        <v>0</v>
      </c>
      <c r="M21" s="842">
        <v>0</v>
      </c>
      <c r="N21" s="842">
        <v>0</v>
      </c>
      <c r="O21" s="842">
        <v>0</v>
      </c>
      <c r="P21" s="842">
        <v>0</v>
      </c>
      <c r="Q21" s="842">
        <v>18740.674999999999</v>
      </c>
      <c r="R21" s="842">
        <v>0</v>
      </c>
      <c r="S21" s="842">
        <v>0</v>
      </c>
      <c r="T21" s="842">
        <v>18740.674999999999</v>
      </c>
      <c r="U21" s="842">
        <v>0</v>
      </c>
      <c r="V21" s="842">
        <v>0</v>
      </c>
      <c r="W21" s="842">
        <v>0</v>
      </c>
      <c r="X21" s="985">
        <v>8.3716587228711059E-2</v>
      </c>
    </row>
    <row r="22" spans="1:24" s="330" customFormat="1" ht="47.25">
      <c r="A22" s="838" t="s">
        <v>2469</v>
      </c>
      <c r="B22" s="840" t="s">
        <v>2527</v>
      </c>
      <c r="C22" s="842">
        <v>217.24799999999999</v>
      </c>
      <c r="D22" s="842">
        <v>217.24799999999999</v>
      </c>
      <c r="E22" s="842">
        <v>0</v>
      </c>
      <c r="F22" s="842">
        <v>0</v>
      </c>
      <c r="G22" s="842">
        <v>143.97</v>
      </c>
      <c r="H22" s="842">
        <v>0</v>
      </c>
      <c r="I22" s="842">
        <v>0</v>
      </c>
      <c r="J22" s="842">
        <v>0</v>
      </c>
      <c r="K22" s="842">
        <v>0</v>
      </c>
      <c r="L22" s="842">
        <v>0</v>
      </c>
      <c r="M22" s="842">
        <v>0</v>
      </c>
      <c r="N22" s="842">
        <v>0</v>
      </c>
      <c r="O22" s="842">
        <v>0</v>
      </c>
      <c r="P22" s="842">
        <v>0</v>
      </c>
      <c r="Q22" s="842">
        <v>143.97</v>
      </c>
      <c r="R22" s="842">
        <v>0</v>
      </c>
      <c r="S22" s="842">
        <v>0</v>
      </c>
      <c r="T22" s="842">
        <v>143.97</v>
      </c>
      <c r="U22" s="842">
        <v>0</v>
      </c>
      <c r="V22" s="842">
        <v>0</v>
      </c>
      <c r="W22" s="842">
        <v>0</v>
      </c>
      <c r="X22" s="985">
        <v>0.66269885108263371</v>
      </c>
    </row>
    <row r="23" spans="1:24" s="330" customFormat="1" ht="47.25">
      <c r="A23" s="838" t="s">
        <v>2469</v>
      </c>
      <c r="B23" s="840" t="s">
        <v>2528</v>
      </c>
      <c r="C23" s="842">
        <v>14250.505999999999</v>
      </c>
      <c r="D23" s="842">
        <v>1533.5060000000001</v>
      </c>
      <c r="E23" s="842">
        <v>12717</v>
      </c>
      <c r="F23" s="842">
        <v>0</v>
      </c>
      <c r="G23" s="842">
        <v>4732.3590000000004</v>
      </c>
      <c r="H23" s="842">
        <v>0</v>
      </c>
      <c r="I23" s="842">
        <v>0</v>
      </c>
      <c r="J23" s="842">
        <v>0</v>
      </c>
      <c r="K23" s="842">
        <v>0</v>
      </c>
      <c r="L23" s="842">
        <v>0</v>
      </c>
      <c r="M23" s="842">
        <v>0</v>
      </c>
      <c r="N23" s="842">
        <v>0</v>
      </c>
      <c r="O23" s="842">
        <v>0</v>
      </c>
      <c r="P23" s="842">
        <v>0</v>
      </c>
      <c r="Q23" s="842">
        <v>4732.3590000000004</v>
      </c>
      <c r="R23" s="842">
        <v>0</v>
      </c>
      <c r="S23" s="842">
        <v>0</v>
      </c>
      <c r="T23" s="842">
        <v>4732.3590000000004</v>
      </c>
      <c r="U23" s="842">
        <v>0</v>
      </c>
      <c r="V23" s="842">
        <v>0</v>
      </c>
      <c r="W23" s="842">
        <v>0</v>
      </c>
      <c r="X23" s="985">
        <v>0.33208357654107162</v>
      </c>
    </row>
    <row r="24" spans="1:24" s="330" customFormat="1">
      <c r="A24" s="838" t="s">
        <v>1886</v>
      </c>
      <c r="B24" s="840" t="s">
        <v>477</v>
      </c>
      <c r="C24" s="842">
        <v>8326</v>
      </c>
      <c r="D24" s="842">
        <v>0</v>
      </c>
      <c r="E24" s="842">
        <v>7968.6610000000001</v>
      </c>
      <c r="F24" s="842">
        <v>357.339</v>
      </c>
      <c r="G24" s="842">
        <v>8009.8019999999997</v>
      </c>
      <c r="H24" s="842">
        <v>0</v>
      </c>
      <c r="I24" s="842">
        <v>8009.8019999999997</v>
      </c>
      <c r="J24" s="842">
        <v>0</v>
      </c>
      <c r="K24" s="842">
        <v>0</v>
      </c>
      <c r="L24" s="842">
        <v>0</v>
      </c>
      <c r="M24" s="842">
        <v>0</v>
      </c>
      <c r="N24" s="842">
        <v>0</v>
      </c>
      <c r="O24" s="842">
        <v>0</v>
      </c>
      <c r="P24" s="842">
        <v>0</v>
      </c>
      <c r="Q24" s="842">
        <v>0</v>
      </c>
      <c r="R24" s="842">
        <v>0</v>
      </c>
      <c r="S24" s="842">
        <v>0</v>
      </c>
      <c r="T24" s="842">
        <v>0</v>
      </c>
      <c r="U24" s="842">
        <v>0</v>
      </c>
      <c r="V24" s="842">
        <v>0</v>
      </c>
      <c r="W24" s="842">
        <v>0</v>
      </c>
      <c r="X24" s="985">
        <v>0.96202282008167184</v>
      </c>
    </row>
    <row r="25" spans="1:24" s="330" customFormat="1" ht="47.25">
      <c r="A25" s="838" t="s">
        <v>2469</v>
      </c>
      <c r="B25" s="840" t="s">
        <v>2279</v>
      </c>
      <c r="C25" s="842">
        <v>7820.6610000000001</v>
      </c>
      <c r="D25" s="842">
        <v>0</v>
      </c>
      <c r="E25" s="842">
        <v>7820.6610000000001</v>
      </c>
      <c r="F25" s="842">
        <v>0</v>
      </c>
      <c r="G25" s="842">
        <v>7800.2849999999999</v>
      </c>
      <c r="H25" s="842">
        <v>0</v>
      </c>
      <c r="I25" s="842">
        <v>7800.2849999999999</v>
      </c>
      <c r="J25" s="842">
        <v>0</v>
      </c>
      <c r="K25" s="842">
        <v>0</v>
      </c>
      <c r="L25" s="842">
        <v>0</v>
      </c>
      <c r="M25" s="842">
        <v>0</v>
      </c>
      <c r="N25" s="842">
        <v>0</v>
      </c>
      <c r="O25" s="842">
        <v>0</v>
      </c>
      <c r="P25" s="842">
        <v>0</v>
      </c>
      <c r="Q25" s="842">
        <v>0</v>
      </c>
      <c r="R25" s="842">
        <v>0</v>
      </c>
      <c r="S25" s="842">
        <v>0</v>
      </c>
      <c r="T25" s="842">
        <v>0</v>
      </c>
      <c r="U25" s="842">
        <v>0</v>
      </c>
      <c r="V25" s="842">
        <v>0</v>
      </c>
      <c r="W25" s="842">
        <v>0</v>
      </c>
      <c r="X25" s="985">
        <v>0.99739459362833904</v>
      </c>
    </row>
    <row r="26" spans="1:24" s="330" customFormat="1" ht="47.25">
      <c r="A26" s="838" t="s">
        <v>2469</v>
      </c>
      <c r="B26" s="840" t="s">
        <v>2529</v>
      </c>
      <c r="C26" s="842">
        <v>505.339</v>
      </c>
      <c r="D26" s="842">
        <v>0</v>
      </c>
      <c r="E26" s="842">
        <v>148</v>
      </c>
      <c r="F26" s="842">
        <v>357.339</v>
      </c>
      <c r="G26" s="842">
        <v>209.517</v>
      </c>
      <c r="H26" s="842">
        <v>0</v>
      </c>
      <c r="I26" s="842">
        <v>209.517</v>
      </c>
      <c r="J26" s="842">
        <v>0</v>
      </c>
      <c r="K26" s="842">
        <v>0</v>
      </c>
      <c r="L26" s="842">
        <v>0</v>
      </c>
      <c r="M26" s="842">
        <v>0</v>
      </c>
      <c r="N26" s="842">
        <v>0</v>
      </c>
      <c r="O26" s="842">
        <v>0</v>
      </c>
      <c r="P26" s="842">
        <v>0</v>
      </c>
      <c r="Q26" s="842">
        <v>0</v>
      </c>
      <c r="R26" s="842">
        <v>0</v>
      </c>
      <c r="S26" s="842">
        <v>0</v>
      </c>
      <c r="T26" s="842">
        <v>0</v>
      </c>
      <c r="U26" s="842">
        <v>0</v>
      </c>
      <c r="V26" s="842">
        <v>0</v>
      </c>
      <c r="W26" s="842">
        <v>0</v>
      </c>
      <c r="X26" s="985">
        <v>0.41460682828754558</v>
      </c>
    </row>
    <row r="27" spans="1:24" s="330" customFormat="1">
      <c r="A27" s="838" t="s">
        <v>1976</v>
      </c>
      <c r="B27" s="840" t="s">
        <v>545</v>
      </c>
      <c r="C27" s="842">
        <v>7835.9618</v>
      </c>
      <c r="D27" s="842">
        <v>692.96180000000004</v>
      </c>
      <c r="E27" s="842">
        <v>0</v>
      </c>
      <c r="F27" s="842">
        <v>7143</v>
      </c>
      <c r="G27" s="842">
        <v>6567.107</v>
      </c>
      <c r="H27" s="842">
        <v>0</v>
      </c>
      <c r="I27" s="842">
        <v>0</v>
      </c>
      <c r="J27" s="842">
        <v>0</v>
      </c>
      <c r="K27" s="842">
        <v>0</v>
      </c>
      <c r="L27" s="842">
        <v>0</v>
      </c>
      <c r="M27" s="842">
        <v>0</v>
      </c>
      <c r="N27" s="842">
        <v>0</v>
      </c>
      <c r="O27" s="842">
        <v>0</v>
      </c>
      <c r="P27" s="842">
        <v>0</v>
      </c>
      <c r="Q27" s="842">
        <v>6567.107</v>
      </c>
      <c r="R27" s="842">
        <v>0</v>
      </c>
      <c r="S27" s="842">
        <v>0</v>
      </c>
      <c r="T27" s="842">
        <v>6567.107</v>
      </c>
      <c r="U27" s="842">
        <v>0</v>
      </c>
      <c r="V27" s="842">
        <v>0</v>
      </c>
      <c r="W27" s="842">
        <v>0</v>
      </c>
      <c r="X27" s="985">
        <v>0.8380728706462045</v>
      </c>
    </row>
    <row r="28" spans="1:24" s="330" customFormat="1" ht="63">
      <c r="A28" s="838" t="s">
        <v>2469</v>
      </c>
      <c r="B28" s="840" t="s">
        <v>2530</v>
      </c>
      <c r="C28" s="842">
        <v>29.715800000000002</v>
      </c>
      <c r="D28" s="842">
        <v>29.715800000000002</v>
      </c>
      <c r="E28" s="842">
        <v>0</v>
      </c>
      <c r="F28" s="842">
        <v>0</v>
      </c>
      <c r="G28" s="842">
        <v>29.085000000000001</v>
      </c>
      <c r="H28" s="842">
        <v>0</v>
      </c>
      <c r="I28" s="842">
        <v>0</v>
      </c>
      <c r="J28" s="842">
        <v>0</v>
      </c>
      <c r="K28" s="842">
        <v>0</v>
      </c>
      <c r="L28" s="842">
        <v>0</v>
      </c>
      <c r="M28" s="842">
        <v>0</v>
      </c>
      <c r="N28" s="842">
        <v>0</v>
      </c>
      <c r="O28" s="842">
        <v>0</v>
      </c>
      <c r="P28" s="842">
        <v>0</v>
      </c>
      <c r="Q28" s="842">
        <v>29.085000000000001</v>
      </c>
      <c r="R28" s="842">
        <v>0</v>
      </c>
      <c r="S28" s="842">
        <v>0</v>
      </c>
      <c r="T28" s="842">
        <v>29.085000000000001</v>
      </c>
      <c r="U28" s="842">
        <v>0</v>
      </c>
      <c r="V28" s="842">
        <v>0</v>
      </c>
      <c r="W28" s="842">
        <v>0</v>
      </c>
      <c r="X28" s="985">
        <v>0.97877223564568339</v>
      </c>
    </row>
    <row r="29" spans="1:24" s="330" customFormat="1" ht="63">
      <c r="A29" s="838" t="s">
        <v>2469</v>
      </c>
      <c r="B29" s="840" t="s">
        <v>2531</v>
      </c>
      <c r="C29" s="842">
        <v>60.896000000000001</v>
      </c>
      <c r="D29" s="842">
        <v>60.896000000000001</v>
      </c>
      <c r="E29" s="842">
        <v>0</v>
      </c>
      <c r="F29" s="842">
        <v>0</v>
      </c>
      <c r="G29" s="842">
        <v>43.085000000000001</v>
      </c>
      <c r="H29" s="842">
        <v>0</v>
      </c>
      <c r="I29" s="842">
        <v>0</v>
      </c>
      <c r="J29" s="842">
        <v>0</v>
      </c>
      <c r="K29" s="842">
        <v>0</v>
      </c>
      <c r="L29" s="842">
        <v>0</v>
      </c>
      <c r="M29" s="842">
        <v>0</v>
      </c>
      <c r="N29" s="842">
        <v>0</v>
      </c>
      <c r="O29" s="842">
        <v>0</v>
      </c>
      <c r="P29" s="842">
        <v>0</v>
      </c>
      <c r="Q29" s="842">
        <v>43.085000000000001</v>
      </c>
      <c r="R29" s="842">
        <v>0</v>
      </c>
      <c r="S29" s="842">
        <v>0</v>
      </c>
      <c r="T29" s="842">
        <v>43.085000000000001</v>
      </c>
      <c r="U29" s="842">
        <v>0</v>
      </c>
      <c r="V29" s="842">
        <v>0</v>
      </c>
      <c r="W29" s="842">
        <v>0</v>
      </c>
      <c r="X29" s="985">
        <v>0.70751773515501837</v>
      </c>
    </row>
    <row r="30" spans="1:24" s="330" customFormat="1" ht="78.75">
      <c r="A30" s="838" t="s">
        <v>2469</v>
      </c>
      <c r="B30" s="840" t="s">
        <v>2532</v>
      </c>
      <c r="C30" s="842">
        <v>3155.7759999999998</v>
      </c>
      <c r="D30" s="842">
        <v>255.77600000000001</v>
      </c>
      <c r="E30" s="842">
        <v>0</v>
      </c>
      <c r="F30" s="842">
        <v>2900</v>
      </c>
      <c r="G30" s="842">
        <v>3093.866</v>
      </c>
      <c r="H30" s="842">
        <v>0</v>
      </c>
      <c r="I30" s="842">
        <v>0</v>
      </c>
      <c r="J30" s="842">
        <v>0</v>
      </c>
      <c r="K30" s="842">
        <v>0</v>
      </c>
      <c r="L30" s="842">
        <v>0</v>
      </c>
      <c r="M30" s="842">
        <v>0</v>
      </c>
      <c r="N30" s="842">
        <v>0</v>
      </c>
      <c r="O30" s="842">
        <v>0</v>
      </c>
      <c r="P30" s="842">
        <v>0</v>
      </c>
      <c r="Q30" s="842">
        <v>3093.866</v>
      </c>
      <c r="R30" s="842">
        <v>0</v>
      </c>
      <c r="S30" s="842">
        <v>0</v>
      </c>
      <c r="T30" s="842">
        <v>3093.866</v>
      </c>
      <c r="U30" s="842">
        <v>0</v>
      </c>
      <c r="V30" s="842">
        <v>0</v>
      </c>
      <c r="W30" s="842">
        <v>0</v>
      </c>
      <c r="X30" s="985">
        <v>0.98038200429941802</v>
      </c>
    </row>
    <row r="31" spans="1:24" s="330" customFormat="1" ht="47.25">
      <c r="A31" s="838" t="s">
        <v>2469</v>
      </c>
      <c r="B31" s="840" t="s">
        <v>2533</v>
      </c>
      <c r="C31" s="842">
        <v>2412.1640000000002</v>
      </c>
      <c r="D31" s="842">
        <v>219.16399999999999</v>
      </c>
      <c r="E31" s="842">
        <v>0</v>
      </c>
      <c r="F31" s="842">
        <v>2193</v>
      </c>
      <c r="G31" s="842">
        <v>2347.1579999999999</v>
      </c>
      <c r="H31" s="842">
        <v>0</v>
      </c>
      <c r="I31" s="842">
        <v>0</v>
      </c>
      <c r="J31" s="842">
        <v>0</v>
      </c>
      <c r="K31" s="842">
        <v>0</v>
      </c>
      <c r="L31" s="842">
        <v>0</v>
      </c>
      <c r="M31" s="842">
        <v>0</v>
      </c>
      <c r="N31" s="842">
        <v>0</v>
      </c>
      <c r="O31" s="842">
        <v>0</v>
      </c>
      <c r="P31" s="842">
        <v>0</v>
      </c>
      <c r="Q31" s="842">
        <v>2347.1579999999999</v>
      </c>
      <c r="R31" s="842">
        <v>0</v>
      </c>
      <c r="S31" s="842">
        <v>0</v>
      </c>
      <c r="T31" s="842">
        <v>2347.1579999999999</v>
      </c>
      <c r="U31" s="842">
        <v>0</v>
      </c>
      <c r="V31" s="842">
        <v>0</v>
      </c>
      <c r="W31" s="842">
        <v>0</v>
      </c>
      <c r="X31" s="985">
        <v>0.97305075442631583</v>
      </c>
    </row>
    <row r="32" spans="1:24" s="330" customFormat="1" ht="63">
      <c r="A32" s="838" t="s">
        <v>2469</v>
      </c>
      <c r="B32" s="840" t="s">
        <v>2534</v>
      </c>
      <c r="C32" s="842">
        <v>977.41</v>
      </c>
      <c r="D32" s="842">
        <v>127.41</v>
      </c>
      <c r="E32" s="842">
        <v>0</v>
      </c>
      <c r="F32" s="842">
        <v>850</v>
      </c>
      <c r="G32" s="842">
        <v>940.04200000000003</v>
      </c>
      <c r="H32" s="842">
        <v>0</v>
      </c>
      <c r="I32" s="842">
        <v>0</v>
      </c>
      <c r="J32" s="842">
        <v>0</v>
      </c>
      <c r="K32" s="842">
        <v>0</v>
      </c>
      <c r="L32" s="842">
        <v>0</v>
      </c>
      <c r="M32" s="842">
        <v>0</v>
      </c>
      <c r="N32" s="842">
        <v>0</v>
      </c>
      <c r="O32" s="842">
        <v>0</v>
      </c>
      <c r="P32" s="842">
        <v>0</v>
      </c>
      <c r="Q32" s="842">
        <v>940.04200000000003</v>
      </c>
      <c r="R32" s="842">
        <v>0</v>
      </c>
      <c r="S32" s="842">
        <v>0</v>
      </c>
      <c r="T32" s="842">
        <v>940.04200000000003</v>
      </c>
      <c r="U32" s="842">
        <v>0</v>
      </c>
      <c r="V32" s="842">
        <v>0</v>
      </c>
      <c r="W32" s="842">
        <v>0</v>
      </c>
      <c r="X32" s="985">
        <v>0.96176834695777624</v>
      </c>
    </row>
    <row r="33" spans="1:24" s="330" customFormat="1" ht="47.25">
      <c r="A33" s="838" t="s">
        <v>2469</v>
      </c>
      <c r="B33" s="840" t="s">
        <v>2535</v>
      </c>
      <c r="C33" s="842">
        <v>1200</v>
      </c>
      <c r="D33" s="842">
        <v>0</v>
      </c>
      <c r="E33" s="842">
        <v>0</v>
      </c>
      <c r="F33" s="842">
        <v>1200</v>
      </c>
      <c r="G33" s="842">
        <v>113.871</v>
      </c>
      <c r="H33" s="842">
        <v>0</v>
      </c>
      <c r="I33" s="842">
        <v>0</v>
      </c>
      <c r="J33" s="842">
        <v>0</v>
      </c>
      <c r="K33" s="842">
        <v>0</v>
      </c>
      <c r="L33" s="842">
        <v>0</v>
      </c>
      <c r="M33" s="842">
        <v>0</v>
      </c>
      <c r="N33" s="842">
        <v>0</v>
      </c>
      <c r="O33" s="842">
        <v>0</v>
      </c>
      <c r="P33" s="842">
        <v>0</v>
      </c>
      <c r="Q33" s="842">
        <v>113.871</v>
      </c>
      <c r="R33" s="842">
        <v>0</v>
      </c>
      <c r="S33" s="842">
        <v>0</v>
      </c>
      <c r="T33" s="842">
        <v>113.871</v>
      </c>
      <c r="U33" s="842">
        <v>0</v>
      </c>
      <c r="V33" s="842">
        <v>0</v>
      </c>
      <c r="W33" s="842">
        <v>0</v>
      </c>
      <c r="X33" s="985">
        <v>9.4892499999999991E-2</v>
      </c>
    </row>
    <row r="34" spans="1:24" s="330" customFormat="1">
      <c r="A34" s="838" t="s">
        <v>1977</v>
      </c>
      <c r="B34" s="840" t="s">
        <v>2247</v>
      </c>
      <c r="C34" s="842">
        <v>449481.76949999999</v>
      </c>
      <c r="D34" s="842">
        <v>441271.08350000001</v>
      </c>
      <c r="E34" s="842">
        <v>1000</v>
      </c>
      <c r="F34" s="842">
        <v>7210.6859999999997</v>
      </c>
      <c r="G34" s="842">
        <v>12486.715144</v>
      </c>
      <c r="H34" s="842">
        <v>0</v>
      </c>
      <c r="I34" s="842">
        <v>0</v>
      </c>
      <c r="J34" s="842">
        <v>0</v>
      </c>
      <c r="K34" s="842">
        <v>0</v>
      </c>
      <c r="L34" s="842">
        <v>0</v>
      </c>
      <c r="M34" s="842">
        <v>0</v>
      </c>
      <c r="N34" s="842">
        <v>0</v>
      </c>
      <c r="O34" s="842">
        <v>0</v>
      </c>
      <c r="P34" s="842">
        <v>0</v>
      </c>
      <c r="Q34" s="842">
        <v>12392.230143999999</v>
      </c>
      <c r="R34" s="842">
        <v>0</v>
      </c>
      <c r="S34" s="842">
        <v>0</v>
      </c>
      <c r="T34" s="842">
        <v>12392.230143999999</v>
      </c>
      <c r="U34" s="842">
        <v>0</v>
      </c>
      <c r="V34" s="842">
        <v>0</v>
      </c>
      <c r="W34" s="842">
        <v>94.484999999999999</v>
      </c>
      <c r="X34" s="985">
        <v>2.7780248257654863E-2</v>
      </c>
    </row>
    <row r="35" spans="1:24" s="330" customFormat="1" ht="63">
      <c r="A35" s="838" t="s">
        <v>2469</v>
      </c>
      <c r="B35" s="840" t="s">
        <v>2281</v>
      </c>
      <c r="C35" s="842">
        <v>4440</v>
      </c>
      <c r="D35" s="842">
        <v>0</v>
      </c>
      <c r="E35" s="842">
        <v>0</v>
      </c>
      <c r="F35" s="842">
        <v>4440</v>
      </c>
      <c r="G35" s="842">
        <v>4440</v>
      </c>
      <c r="H35" s="842">
        <v>0</v>
      </c>
      <c r="I35" s="842">
        <v>0</v>
      </c>
      <c r="J35" s="842">
        <v>0</v>
      </c>
      <c r="K35" s="842">
        <v>0</v>
      </c>
      <c r="L35" s="842">
        <v>0</v>
      </c>
      <c r="M35" s="842">
        <v>0</v>
      </c>
      <c r="N35" s="842">
        <v>0</v>
      </c>
      <c r="O35" s="842">
        <v>0</v>
      </c>
      <c r="P35" s="842">
        <v>0</v>
      </c>
      <c r="Q35" s="842">
        <v>4440</v>
      </c>
      <c r="R35" s="842">
        <v>0</v>
      </c>
      <c r="S35" s="842">
        <v>0</v>
      </c>
      <c r="T35" s="842">
        <v>4440</v>
      </c>
      <c r="U35" s="842">
        <v>0</v>
      </c>
      <c r="V35" s="842">
        <v>0</v>
      </c>
      <c r="W35" s="842">
        <v>0</v>
      </c>
      <c r="X35" s="985">
        <v>1</v>
      </c>
    </row>
    <row r="36" spans="1:24" s="330" customFormat="1" ht="31.5">
      <c r="A36" s="838" t="s">
        <v>2469</v>
      </c>
      <c r="B36" s="840" t="s">
        <v>2282</v>
      </c>
      <c r="C36" s="842">
        <v>12680.1065</v>
      </c>
      <c r="D36" s="842">
        <v>12680.1065</v>
      </c>
      <c r="E36" s="842">
        <v>0</v>
      </c>
      <c r="F36" s="842">
        <v>0</v>
      </c>
      <c r="G36" s="842">
        <v>299.32400000000001</v>
      </c>
      <c r="H36" s="842">
        <v>0</v>
      </c>
      <c r="I36" s="842">
        <v>0</v>
      </c>
      <c r="J36" s="842">
        <v>0</v>
      </c>
      <c r="K36" s="842">
        <v>0</v>
      </c>
      <c r="L36" s="842">
        <v>0</v>
      </c>
      <c r="M36" s="842">
        <v>0</v>
      </c>
      <c r="N36" s="842">
        <v>0</v>
      </c>
      <c r="O36" s="842">
        <v>0</v>
      </c>
      <c r="P36" s="842">
        <v>0</v>
      </c>
      <c r="Q36" s="842">
        <v>299.32400000000001</v>
      </c>
      <c r="R36" s="842">
        <v>0</v>
      </c>
      <c r="S36" s="842">
        <v>0</v>
      </c>
      <c r="T36" s="842">
        <v>299.32400000000001</v>
      </c>
      <c r="U36" s="842">
        <v>0</v>
      </c>
      <c r="V36" s="842">
        <v>0</v>
      </c>
      <c r="W36" s="842">
        <v>0</v>
      </c>
      <c r="X36" s="985">
        <v>2.3605795424510041E-2</v>
      </c>
    </row>
    <row r="37" spans="1:24" s="330" customFormat="1" ht="63">
      <c r="A37" s="838" t="s">
        <v>2469</v>
      </c>
      <c r="B37" s="839" t="s">
        <v>2536</v>
      </c>
      <c r="C37" s="842">
        <v>94.484999999999999</v>
      </c>
      <c r="D37" s="842">
        <v>94.484999999999999</v>
      </c>
      <c r="E37" s="842">
        <v>0</v>
      </c>
      <c r="F37" s="842">
        <v>0</v>
      </c>
      <c r="G37" s="842">
        <v>94.484999999999999</v>
      </c>
      <c r="H37" s="842">
        <v>0</v>
      </c>
      <c r="I37" s="842">
        <v>0</v>
      </c>
      <c r="J37" s="842">
        <v>0</v>
      </c>
      <c r="K37" s="842">
        <v>0</v>
      </c>
      <c r="L37" s="842">
        <v>0</v>
      </c>
      <c r="M37" s="842">
        <v>0</v>
      </c>
      <c r="N37" s="842">
        <v>0</v>
      </c>
      <c r="O37" s="842">
        <v>0</v>
      </c>
      <c r="P37" s="842">
        <v>0</v>
      </c>
      <c r="Q37" s="842">
        <v>0</v>
      </c>
      <c r="R37" s="842">
        <v>0</v>
      </c>
      <c r="S37" s="842">
        <v>0</v>
      </c>
      <c r="T37" s="842">
        <v>0</v>
      </c>
      <c r="U37" s="842">
        <v>0</v>
      </c>
      <c r="V37" s="842">
        <v>0</v>
      </c>
      <c r="W37" s="842">
        <v>94.484999999999999</v>
      </c>
      <c r="X37" s="985">
        <v>1</v>
      </c>
    </row>
    <row r="38" spans="1:24" s="330" customFormat="1" ht="63">
      <c r="A38" s="838" t="s">
        <v>2469</v>
      </c>
      <c r="B38" s="840" t="s">
        <v>2283</v>
      </c>
      <c r="C38" s="842">
        <v>1599.64</v>
      </c>
      <c r="D38" s="842">
        <v>1434.64</v>
      </c>
      <c r="E38" s="842">
        <v>0</v>
      </c>
      <c r="F38" s="842">
        <v>165</v>
      </c>
      <c r="G38" s="842">
        <v>1484.4290000000001</v>
      </c>
      <c r="H38" s="842">
        <v>0</v>
      </c>
      <c r="I38" s="842">
        <v>0</v>
      </c>
      <c r="J38" s="842">
        <v>0</v>
      </c>
      <c r="K38" s="842">
        <v>0</v>
      </c>
      <c r="L38" s="842">
        <v>0</v>
      </c>
      <c r="M38" s="842">
        <v>0</v>
      </c>
      <c r="N38" s="842">
        <v>0</v>
      </c>
      <c r="O38" s="842">
        <v>0</v>
      </c>
      <c r="P38" s="842">
        <v>0</v>
      </c>
      <c r="Q38" s="842">
        <v>1484.4290000000001</v>
      </c>
      <c r="R38" s="842">
        <v>0</v>
      </c>
      <c r="S38" s="842">
        <v>0</v>
      </c>
      <c r="T38" s="842">
        <v>1484.4290000000001</v>
      </c>
      <c r="U38" s="842">
        <v>0</v>
      </c>
      <c r="V38" s="842">
        <v>0</v>
      </c>
      <c r="W38" s="842">
        <v>0</v>
      </c>
      <c r="X38" s="985">
        <v>0.92797691980695651</v>
      </c>
    </row>
    <row r="39" spans="1:24" s="330" customFormat="1" ht="47.25">
      <c r="A39" s="838" t="s">
        <v>2469</v>
      </c>
      <c r="B39" s="840" t="s">
        <v>2284</v>
      </c>
      <c r="C39" s="842">
        <v>420385.12300000002</v>
      </c>
      <c r="D39" s="842">
        <v>420385.12300000002</v>
      </c>
      <c r="E39" s="842">
        <v>0</v>
      </c>
      <c r="F39" s="842">
        <v>0</v>
      </c>
      <c r="G39" s="842">
        <v>146.143</v>
      </c>
      <c r="H39" s="842">
        <v>0</v>
      </c>
      <c r="I39" s="842">
        <v>0</v>
      </c>
      <c r="J39" s="842">
        <v>0</v>
      </c>
      <c r="K39" s="842">
        <v>0</v>
      </c>
      <c r="L39" s="842">
        <v>0</v>
      </c>
      <c r="M39" s="842">
        <v>0</v>
      </c>
      <c r="N39" s="842">
        <v>0</v>
      </c>
      <c r="O39" s="842">
        <v>0</v>
      </c>
      <c r="P39" s="842">
        <v>0</v>
      </c>
      <c r="Q39" s="842">
        <v>146.143</v>
      </c>
      <c r="R39" s="842">
        <v>0</v>
      </c>
      <c r="S39" s="842">
        <v>0</v>
      </c>
      <c r="T39" s="842">
        <v>146.143</v>
      </c>
      <c r="U39" s="842">
        <v>0</v>
      </c>
      <c r="V39" s="842">
        <v>0</v>
      </c>
      <c r="W39" s="842">
        <v>0</v>
      </c>
      <c r="X39" s="985">
        <v>3.4764075131174418E-4</v>
      </c>
    </row>
    <row r="40" spans="1:24" s="330" customFormat="1" ht="63">
      <c r="A40" s="838" t="s">
        <v>2469</v>
      </c>
      <c r="B40" s="840" t="s">
        <v>2285</v>
      </c>
      <c r="C40" s="842">
        <v>5852.9530000000004</v>
      </c>
      <c r="D40" s="842">
        <v>6197.8149999999996</v>
      </c>
      <c r="E40" s="842">
        <v>0</v>
      </c>
      <c r="F40" s="842">
        <v>-344.86200000000002</v>
      </c>
      <c r="G40" s="842">
        <v>1593.9770000000001</v>
      </c>
      <c r="H40" s="842">
        <v>0</v>
      </c>
      <c r="I40" s="842">
        <v>0</v>
      </c>
      <c r="J40" s="842">
        <v>0</v>
      </c>
      <c r="K40" s="842">
        <v>0</v>
      </c>
      <c r="L40" s="842">
        <v>0</v>
      </c>
      <c r="M40" s="842">
        <v>0</v>
      </c>
      <c r="N40" s="842">
        <v>0</v>
      </c>
      <c r="O40" s="842">
        <v>0</v>
      </c>
      <c r="P40" s="842">
        <v>0</v>
      </c>
      <c r="Q40" s="842">
        <v>1593.9770000000001</v>
      </c>
      <c r="R40" s="842">
        <v>0</v>
      </c>
      <c r="S40" s="842">
        <v>0</v>
      </c>
      <c r="T40" s="842">
        <v>1593.9770000000001</v>
      </c>
      <c r="U40" s="842">
        <v>0</v>
      </c>
      <c r="V40" s="842">
        <v>0</v>
      </c>
      <c r="W40" s="842">
        <v>0</v>
      </c>
      <c r="X40" s="985">
        <v>0.27233722874589972</v>
      </c>
    </row>
    <row r="41" spans="1:24" s="330" customFormat="1" ht="78.75">
      <c r="A41" s="838" t="s">
        <v>2469</v>
      </c>
      <c r="B41" s="840" t="s">
        <v>2286</v>
      </c>
      <c r="C41" s="842">
        <v>2950.5479999999998</v>
      </c>
      <c r="D41" s="842">
        <v>0</v>
      </c>
      <c r="E41" s="842">
        <v>0</v>
      </c>
      <c r="F41" s="842">
        <v>2950.5479999999998</v>
      </c>
      <c r="G41" s="842">
        <v>2949.4431439999998</v>
      </c>
      <c r="H41" s="842">
        <v>0</v>
      </c>
      <c r="I41" s="842">
        <v>0</v>
      </c>
      <c r="J41" s="842">
        <v>0</v>
      </c>
      <c r="K41" s="842">
        <v>0</v>
      </c>
      <c r="L41" s="842">
        <v>0</v>
      </c>
      <c r="M41" s="842">
        <v>0</v>
      </c>
      <c r="N41" s="842">
        <v>0</v>
      </c>
      <c r="O41" s="842">
        <v>0</v>
      </c>
      <c r="P41" s="842">
        <v>0</v>
      </c>
      <c r="Q41" s="842">
        <v>2949.4431439999998</v>
      </c>
      <c r="R41" s="842">
        <v>0</v>
      </c>
      <c r="S41" s="842">
        <v>0</v>
      </c>
      <c r="T41" s="842">
        <v>2949.4431439999998</v>
      </c>
      <c r="U41" s="842">
        <v>0</v>
      </c>
      <c r="V41" s="842">
        <v>0</v>
      </c>
      <c r="W41" s="842">
        <v>0</v>
      </c>
      <c r="X41" s="985">
        <v>0.99962554210268739</v>
      </c>
    </row>
    <row r="42" spans="1:24" s="330" customFormat="1" ht="31.5">
      <c r="A42" s="838" t="s">
        <v>2469</v>
      </c>
      <c r="B42" s="839" t="s">
        <v>2287</v>
      </c>
      <c r="C42" s="842">
        <v>463.63499999999999</v>
      </c>
      <c r="D42" s="842">
        <v>463.63499999999999</v>
      </c>
      <c r="E42" s="842">
        <v>0</v>
      </c>
      <c r="F42" s="842">
        <v>0</v>
      </c>
      <c r="G42" s="842">
        <v>463.63499999999999</v>
      </c>
      <c r="H42" s="842">
        <v>0</v>
      </c>
      <c r="I42" s="842">
        <v>0</v>
      </c>
      <c r="J42" s="842">
        <v>0</v>
      </c>
      <c r="K42" s="842">
        <v>0</v>
      </c>
      <c r="L42" s="842">
        <v>0</v>
      </c>
      <c r="M42" s="842">
        <v>0</v>
      </c>
      <c r="N42" s="842">
        <v>0</v>
      </c>
      <c r="O42" s="842">
        <v>0</v>
      </c>
      <c r="P42" s="842">
        <v>0</v>
      </c>
      <c r="Q42" s="842">
        <v>463.63499999999999</v>
      </c>
      <c r="R42" s="842">
        <v>0</v>
      </c>
      <c r="S42" s="842">
        <v>0</v>
      </c>
      <c r="T42" s="842">
        <v>463.63499999999999</v>
      </c>
      <c r="U42" s="842">
        <v>0</v>
      </c>
      <c r="V42" s="842">
        <v>0</v>
      </c>
      <c r="W42" s="842">
        <v>0</v>
      </c>
      <c r="X42" s="985">
        <v>1</v>
      </c>
    </row>
    <row r="43" spans="1:24" s="330" customFormat="1" ht="47.25">
      <c r="A43" s="838" t="s">
        <v>2469</v>
      </c>
      <c r="B43" s="840" t="s">
        <v>2288</v>
      </c>
      <c r="C43" s="842">
        <v>1015.279</v>
      </c>
      <c r="D43" s="842">
        <v>15.279</v>
      </c>
      <c r="E43" s="842">
        <v>1000</v>
      </c>
      <c r="F43" s="842">
        <v>0</v>
      </c>
      <c r="G43" s="842">
        <v>1015.279</v>
      </c>
      <c r="H43" s="842">
        <v>0</v>
      </c>
      <c r="I43" s="842">
        <v>0</v>
      </c>
      <c r="J43" s="842">
        <v>0</v>
      </c>
      <c r="K43" s="842">
        <v>0</v>
      </c>
      <c r="L43" s="842">
        <v>0</v>
      </c>
      <c r="M43" s="842">
        <v>0</v>
      </c>
      <c r="N43" s="842">
        <v>0</v>
      </c>
      <c r="O43" s="842">
        <v>0</v>
      </c>
      <c r="P43" s="842">
        <v>0</v>
      </c>
      <c r="Q43" s="842">
        <v>1015.279</v>
      </c>
      <c r="R43" s="842">
        <v>0</v>
      </c>
      <c r="S43" s="842">
        <v>0</v>
      </c>
      <c r="T43" s="842">
        <v>1015.279</v>
      </c>
      <c r="U43" s="842">
        <v>0</v>
      </c>
      <c r="V43" s="842">
        <v>0</v>
      </c>
      <c r="W43" s="842">
        <v>0</v>
      </c>
      <c r="X43" s="985">
        <v>1</v>
      </c>
    </row>
    <row r="44" spans="1:24" s="330" customFormat="1">
      <c r="A44" s="838" t="s">
        <v>1978</v>
      </c>
      <c r="B44" s="840" t="s">
        <v>373</v>
      </c>
      <c r="C44" s="842">
        <v>661.88499999999999</v>
      </c>
      <c r="D44" s="842">
        <v>4.8849999999999998</v>
      </c>
      <c r="E44" s="842">
        <v>657</v>
      </c>
      <c r="F44" s="842">
        <v>0</v>
      </c>
      <c r="G44" s="842">
        <v>661.88499999999999</v>
      </c>
      <c r="H44" s="842">
        <v>661.88499999999999</v>
      </c>
      <c r="I44" s="842">
        <v>0</v>
      </c>
      <c r="J44" s="842">
        <v>0</v>
      </c>
      <c r="K44" s="842">
        <v>0</v>
      </c>
      <c r="L44" s="842">
        <v>0</v>
      </c>
      <c r="M44" s="842">
        <v>0</v>
      </c>
      <c r="N44" s="842">
        <v>0</v>
      </c>
      <c r="O44" s="842">
        <v>0</v>
      </c>
      <c r="P44" s="842">
        <v>0</v>
      </c>
      <c r="Q44" s="842">
        <v>0</v>
      </c>
      <c r="R44" s="842">
        <v>0</v>
      </c>
      <c r="S44" s="842">
        <v>0</v>
      </c>
      <c r="T44" s="842">
        <v>0</v>
      </c>
      <c r="U44" s="842">
        <v>0</v>
      </c>
      <c r="V44" s="842">
        <v>0</v>
      </c>
      <c r="W44" s="842">
        <v>0</v>
      </c>
      <c r="X44" s="985">
        <v>1</v>
      </c>
    </row>
    <row r="45" spans="1:24" s="330" customFormat="1" ht="31.5">
      <c r="A45" s="838" t="s">
        <v>2469</v>
      </c>
      <c r="B45" s="839" t="s">
        <v>2538</v>
      </c>
      <c r="C45" s="842">
        <v>4.8849999999999998</v>
      </c>
      <c r="D45" s="842">
        <v>4.8849999999999998</v>
      </c>
      <c r="E45" s="842">
        <v>0</v>
      </c>
      <c r="F45" s="842">
        <v>0</v>
      </c>
      <c r="G45" s="842">
        <v>4.8849999999999998</v>
      </c>
      <c r="H45" s="842">
        <v>4.8849999999999998</v>
      </c>
      <c r="I45" s="842">
        <v>0</v>
      </c>
      <c r="J45" s="842">
        <v>0</v>
      </c>
      <c r="K45" s="842">
        <v>0</v>
      </c>
      <c r="L45" s="842">
        <v>0</v>
      </c>
      <c r="M45" s="842">
        <v>0</v>
      </c>
      <c r="N45" s="842">
        <v>0</v>
      </c>
      <c r="O45" s="842">
        <v>0</v>
      </c>
      <c r="P45" s="842">
        <v>0</v>
      </c>
      <c r="Q45" s="842">
        <v>0</v>
      </c>
      <c r="R45" s="842">
        <v>0</v>
      </c>
      <c r="S45" s="842">
        <v>0</v>
      </c>
      <c r="T45" s="842">
        <v>0</v>
      </c>
      <c r="U45" s="842">
        <v>0</v>
      </c>
      <c r="V45" s="842">
        <v>0</v>
      </c>
      <c r="W45" s="842">
        <v>0</v>
      </c>
      <c r="X45" s="985">
        <v>1</v>
      </c>
    </row>
    <row r="46" spans="1:24" s="330" customFormat="1" ht="31.5">
      <c r="A46" s="838" t="s">
        <v>2469</v>
      </c>
      <c r="B46" s="840" t="s">
        <v>2290</v>
      </c>
      <c r="C46" s="842">
        <v>657</v>
      </c>
      <c r="D46" s="842">
        <v>0</v>
      </c>
      <c r="E46" s="842">
        <v>657</v>
      </c>
      <c r="F46" s="842">
        <v>0</v>
      </c>
      <c r="G46" s="842">
        <v>657</v>
      </c>
      <c r="H46" s="842">
        <v>657</v>
      </c>
      <c r="I46" s="842">
        <v>0</v>
      </c>
      <c r="J46" s="842">
        <v>0</v>
      </c>
      <c r="K46" s="842">
        <v>0</v>
      </c>
      <c r="L46" s="842">
        <v>0</v>
      </c>
      <c r="M46" s="842">
        <v>0</v>
      </c>
      <c r="N46" s="842">
        <v>0</v>
      </c>
      <c r="O46" s="842">
        <v>0</v>
      </c>
      <c r="P46" s="842">
        <v>0</v>
      </c>
      <c r="Q46" s="842">
        <v>0</v>
      </c>
      <c r="R46" s="842">
        <v>0</v>
      </c>
      <c r="S46" s="842">
        <v>0</v>
      </c>
      <c r="T46" s="842">
        <v>0</v>
      </c>
      <c r="U46" s="842">
        <v>0</v>
      </c>
      <c r="V46" s="842">
        <v>0</v>
      </c>
      <c r="W46" s="842">
        <v>0</v>
      </c>
      <c r="X46" s="985">
        <v>1</v>
      </c>
    </row>
    <row r="47" spans="1:24" s="330" customFormat="1">
      <c r="A47" s="838" t="s">
        <v>1979</v>
      </c>
      <c r="B47" s="840" t="s">
        <v>525</v>
      </c>
      <c r="C47" s="842">
        <v>28177.310792</v>
      </c>
      <c r="D47" s="842">
        <v>863.6</v>
      </c>
      <c r="E47" s="842">
        <v>1000</v>
      </c>
      <c r="F47" s="842">
        <v>26313.710792000002</v>
      </c>
      <c r="G47" s="842">
        <v>1550.0840000000001</v>
      </c>
      <c r="H47" s="842">
        <v>0</v>
      </c>
      <c r="I47" s="842">
        <v>0</v>
      </c>
      <c r="J47" s="842">
        <v>0</v>
      </c>
      <c r="K47" s="842">
        <v>0</v>
      </c>
      <c r="L47" s="842">
        <v>1550.0840000000001</v>
      </c>
      <c r="M47" s="842">
        <v>0</v>
      </c>
      <c r="N47" s="842">
        <v>0</v>
      </c>
      <c r="O47" s="842">
        <v>0</v>
      </c>
      <c r="P47" s="842">
        <v>0</v>
      </c>
      <c r="Q47" s="842">
        <v>0</v>
      </c>
      <c r="R47" s="842">
        <v>0</v>
      </c>
      <c r="S47" s="842">
        <v>0</v>
      </c>
      <c r="T47" s="842">
        <v>0</v>
      </c>
      <c r="U47" s="842">
        <v>0</v>
      </c>
      <c r="V47" s="842">
        <v>0</v>
      </c>
      <c r="W47" s="842">
        <v>0</v>
      </c>
      <c r="X47" s="985">
        <v>5.5011779209252799E-2</v>
      </c>
    </row>
    <row r="48" spans="1:24" s="330" customFormat="1" ht="31.5">
      <c r="A48" s="838" t="s">
        <v>2469</v>
      </c>
      <c r="B48" s="840" t="s">
        <v>2291</v>
      </c>
      <c r="C48" s="842">
        <v>27027.310792</v>
      </c>
      <c r="D48" s="842">
        <v>713.6</v>
      </c>
      <c r="E48" s="842">
        <v>0</v>
      </c>
      <c r="F48" s="842">
        <v>26313.710792000002</v>
      </c>
      <c r="G48" s="842">
        <v>400.084</v>
      </c>
      <c r="H48" s="842">
        <v>0</v>
      </c>
      <c r="I48" s="842">
        <v>0</v>
      </c>
      <c r="J48" s="842">
        <v>0</v>
      </c>
      <c r="K48" s="842">
        <v>0</v>
      </c>
      <c r="L48" s="842">
        <v>400.084</v>
      </c>
      <c r="M48" s="842">
        <v>0</v>
      </c>
      <c r="N48" s="842">
        <v>0</v>
      </c>
      <c r="O48" s="842">
        <v>0</v>
      </c>
      <c r="P48" s="842">
        <v>0</v>
      </c>
      <c r="Q48" s="842">
        <v>0</v>
      </c>
      <c r="R48" s="842">
        <v>0</v>
      </c>
      <c r="S48" s="842">
        <v>0</v>
      </c>
      <c r="T48" s="842">
        <v>0</v>
      </c>
      <c r="U48" s="842">
        <v>0</v>
      </c>
      <c r="V48" s="842">
        <v>0</v>
      </c>
      <c r="W48" s="842">
        <v>0</v>
      </c>
      <c r="X48" s="985">
        <v>1.4802952579300772E-2</v>
      </c>
    </row>
    <row r="49" spans="1:24" s="330" customFormat="1" ht="31.5">
      <c r="A49" s="838" t="s">
        <v>2469</v>
      </c>
      <c r="B49" s="840" t="s">
        <v>2292</v>
      </c>
      <c r="C49" s="842">
        <v>1150</v>
      </c>
      <c r="D49" s="842">
        <v>150</v>
      </c>
      <c r="E49" s="842">
        <v>1000</v>
      </c>
      <c r="F49" s="842">
        <v>0</v>
      </c>
      <c r="G49" s="842">
        <v>1150</v>
      </c>
      <c r="H49" s="842">
        <v>0</v>
      </c>
      <c r="I49" s="842">
        <v>0</v>
      </c>
      <c r="J49" s="842">
        <v>0</v>
      </c>
      <c r="K49" s="842">
        <v>0</v>
      </c>
      <c r="L49" s="842">
        <v>1150</v>
      </c>
      <c r="M49" s="842">
        <v>0</v>
      </c>
      <c r="N49" s="842">
        <v>0</v>
      </c>
      <c r="O49" s="842">
        <v>0</v>
      </c>
      <c r="P49" s="842">
        <v>0</v>
      </c>
      <c r="Q49" s="842">
        <v>0</v>
      </c>
      <c r="R49" s="842">
        <v>0</v>
      </c>
      <c r="S49" s="842">
        <v>0</v>
      </c>
      <c r="T49" s="842">
        <v>0</v>
      </c>
      <c r="U49" s="842">
        <v>0</v>
      </c>
      <c r="V49" s="842">
        <v>0</v>
      </c>
      <c r="W49" s="842">
        <v>0</v>
      </c>
      <c r="X49" s="985">
        <v>1</v>
      </c>
    </row>
    <row r="50" spans="1:24" s="330" customFormat="1">
      <c r="A50" s="838" t="s">
        <v>1980</v>
      </c>
      <c r="B50" s="840" t="s">
        <v>2252</v>
      </c>
      <c r="C50" s="842">
        <v>204039.22200000001</v>
      </c>
      <c r="D50" s="842">
        <v>12166.392</v>
      </c>
      <c r="E50" s="842">
        <v>9000</v>
      </c>
      <c r="F50" s="842">
        <v>182872.83</v>
      </c>
      <c r="G50" s="842">
        <v>27030.694027000001</v>
      </c>
      <c r="H50" s="842">
        <v>0</v>
      </c>
      <c r="I50" s="842">
        <v>0</v>
      </c>
      <c r="J50" s="842">
        <v>0</v>
      </c>
      <c r="K50" s="842">
        <v>0</v>
      </c>
      <c r="L50" s="842">
        <v>0</v>
      </c>
      <c r="M50" s="842">
        <v>0</v>
      </c>
      <c r="N50" s="842">
        <v>0</v>
      </c>
      <c r="O50" s="842">
        <v>0</v>
      </c>
      <c r="P50" s="842">
        <v>0</v>
      </c>
      <c r="Q50" s="842">
        <v>27030.694027000001</v>
      </c>
      <c r="R50" s="842">
        <v>0</v>
      </c>
      <c r="S50" s="842">
        <v>0</v>
      </c>
      <c r="T50" s="842">
        <v>27030.694027000001</v>
      </c>
      <c r="U50" s="842">
        <v>0</v>
      </c>
      <c r="V50" s="842">
        <v>0</v>
      </c>
      <c r="W50" s="842">
        <v>0</v>
      </c>
      <c r="X50" s="985">
        <v>0.13247793126264715</v>
      </c>
    </row>
    <row r="51" spans="1:24" s="330" customFormat="1" ht="78.75">
      <c r="A51" s="838" t="s">
        <v>2469</v>
      </c>
      <c r="B51" s="840" t="s">
        <v>2293</v>
      </c>
      <c r="C51" s="842">
        <v>203373.003</v>
      </c>
      <c r="D51" s="842">
        <v>11500.173000000001</v>
      </c>
      <c r="E51" s="842">
        <v>9000</v>
      </c>
      <c r="F51" s="842">
        <v>182872.83</v>
      </c>
      <c r="G51" s="842">
        <v>26875.074026999999</v>
      </c>
      <c r="H51" s="842">
        <v>0</v>
      </c>
      <c r="I51" s="842">
        <v>0</v>
      </c>
      <c r="J51" s="842">
        <v>0</v>
      </c>
      <c r="K51" s="842">
        <v>0</v>
      </c>
      <c r="L51" s="842">
        <v>0</v>
      </c>
      <c r="M51" s="842">
        <v>0</v>
      </c>
      <c r="N51" s="842">
        <v>0</v>
      </c>
      <c r="O51" s="842">
        <v>0</v>
      </c>
      <c r="P51" s="842">
        <v>0</v>
      </c>
      <c r="Q51" s="842">
        <v>26875.074026999999</v>
      </c>
      <c r="R51" s="842">
        <v>0</v>
      </c>
      <c r="S51" s="842">
        <v>0</v>
      </c>
      <c r="T51" s="842">
        <v>26875.074026999999</v>
      </c>
      <c r="U51" s="842">
        <v>0</v>
      </c>
      <c r="V51" s="842">
        <v>0</v>
      </c>
      <c r="W51" s="842">
        <v>0</v>
      </c>
      <c r="X51" s="985">
        <v>0.13214671382415491</v>
      </c>
    </row>
    <row r="52" spans="1:24" s="330" customFormat="1" ht="47.25">
      <c r="A52" s="838" t="s">
        <v>2469</v>
      </c>
      <c r="B52" s="839" t="s">
        <v>2539</v>
      </c>
      <c r="C52" s="842">
        <v>347.73899999999998</v>
      </c>
      <c r="D52" s="842">
        <v>347.73899999999998</v>
      </c>
      <c r="E52" s="842">
        <v>0</v>
      </c>
      <c r="F52" s="842">
        <v>0</v>
      </c>
      <c r="G52" s="842">
        <v>72.25</v>
      </c>
      <c r="H52" s="842">
        <v>0</v>
      </c>
      <c r="I52" s="842">
        <v>0</v>
      </c>
      <c r="J52" s="842">
        <v>0</v>
      </c>
      <c r="K52" s="842">
        <v>0</v>
      </c>
      <c r="L52" s="842">
        <v>0</v>
      </c>
      <c r="M52" s="842">
        <v>0</v>
      </c>
      <c r="N52" s="842">
        <v>0</v>
      </c>
      <c r="O52" s="842">
        <v>0</v>
      </c>
      <c r="P52" s="842">
        <v>0</v>
      </c>
      <c r="Q52" s="842">
        <v>72.25</v>
      </c>
      <c r="R52" s="842">
        <v>0</v>
      </c>
      <c r="S52" s="842">
        <v>0</v>
      </c>
      <c r="T52" s="842">
        <v>72.25</v>
      </c>
      <c r="U52" s="842">
        <v>0</v>
      </c>
      <c r="V52" s="842">
        <v>0</v>
      </c>
      <c r="W52" s="842">
        <v>0</v>
      </c>
      <c r="X52" s="985">
        <v>0.20777077060669066</v>
      </c>
    </row>
    <row r="53" spans="1:24" s="330" customFormat="1" ht="47.25">
      <c r="A53" s="838" t="s">
        <v>2469</v>
      </c>
      <c r="B53" s="840" t="s">
        <v>2540</v>
      </c>
      <c r="C53" s="842">
        <v>318.48</v>
      </c>
      <c r="D53" s="842">
        <v>318.48</v>
      </c>
      <c r="E53" s="842">
        <v>0</v>
      </c>
      <c r="F53" s="842">
        <v>0</v>
      </c>
      <c r="G53" s="842">
        <v>83.37</v>
      </c>
      <c r="H53" s="842">
        <v>0</v>
      </c>
      <c r="I53" s="842">
        <v>0</v>
      </c>
      <c r="J53" s="842">
        <v>0</v>
      </c>
      <c r="K53" s="842">
        <v>0</v>
      </c>
      <c r="L53" s="842">
        <v>0</v>
      </c>
      <c r="M53" s="842">
        <v>0</v>
      </c>
      <c r="N53" s="842">
        <v>0</v>
      </c>
      <c r="O53" s="842">
        <v>0</v>
      </c>
      <c r="P53" s="842">
        <v>0</v>
      </c>
      <c r="Q53" s="842">
        <v>83.37</v>
      </c>
      <c r="R53" s="842">
        <v>0</v>
      </c>
      <c r="S53" s="842">
        <v>0</v>
      </c>
      <c r="T53" s="842">
        <v>83.37</v>
      </c>
      <c r="U53" s="842">
        <v>0</v>
      </c>
      <c r="V53" s="842">
        <v>0</v>
      </c>
      <c r="W53" s="842">
        <v>0</v>
      </c>
      <c r="X53" s="985">
        <v>0.26177467972871138</v>
      </c>
    </row>
    <row r="54" spans="1:24" s="330" customFormat="1">
      <c r="A54" s="838" t="s">
        <v>1981</v>
      </c>
      <c r="B54" s="840" t="s">
        <v>1725</v>
      </c>
      <c r="C54" s="842">
        <v>153628.24280000001</v>
      </c>
      <c r="D54" s="842">
        <v>86280.642800000001</v>
      </c>
      <c r="E54" s="842">
        <v>38270</v>
      </c>
      <c r="F54" s="842">
        <v>29077.599999999999</v>
      </c>
      <c r="G54" s="842">
        <v>86404.985333000004</v>
      </c>
      <c r="H54" s="842">
        <v>0</v>
      </c>
      <c r="I54" s="842">
        <v>0</v>
      </c>
      <c r="J54" s="842">
        <v>0</v>
      </c>
      <c r="K54" s="842">
        <v>0</v>
      </c>
      <c r="L54" s="842">
        <v>0</v>
      </c>
      <c r="M54" s="842">
        <v>0</v>
      </c>
      <c r="N54" s="842">
        <v>0</v>
      </c>
      <c r="O54" s="842">
        <v>0</v>
      </c>
      <c r="P54" s="842">
        <v>3069.9998089999999</v>
      </c>
      <c r="Q54" s="842">
        <v>80937.381024000002</v>
      </c>
      <c r="R54" s="842">
        <v>0</v>
      </c>
      <c r="S54" s="842">
        <v>0</v>
      </c>
      <c r="T54" s="842">
        <v>80937.381024000002</v>
      </c>
      <c r="U54" s="842">
        <v>2397.6044999999999</v>
      </c>
      <c r="V54" s="842">
        <v>0</v>
      </c>
      <c r="W54" s="842">
        <v>0</v>
      </c>
      <c r="X54" s="985">
        <v>0.56242904141971994</v>
      </c>
    </row>
    <row r="55" spans="1:24" s="330" customFormat="1" ht="31.5">
      <c r="A55" s="838" t="s">
        <v>2469</v>
      </c>
      <c r="B55" s="840" t="s">
        <v>2294</v>
      </c>
      <c r="C55" s="842">
        <v>900</v>
      </c>
      <c r="D55" s="842">
        <v>0</v>
      </c>
      <c r="E55" s="842">
        <v>0</v>
      </c>
      <c r="F55" s="842">
        <v>900</v>
      </c>
      <c r="G55" s="842">
        <v>900</v>
      </c>
      <c r="H55" s="842">
        <v>0</v>
      </c>
      <c r="I55" s="842">
        <v>0</v>
      </c>
      <c r="J55" s="842">
        <v>0</v>
      </c>
      <c r="K55" s="842">
        <v>0</v>
      </c>
      <c r="L55" s="842">
        <v>0</v>
      </c>
      <c r="M55" s="842">
        <v>0</v>
      </c>
      <c r="N55" s="842">
        <v>0</v>
      </c>
      <c r="O55" s="842">
        <v>0</v>
      </c>
      <c r="P55" s="842">
        <v>0</v>
      </c>
      <c r="Q55" s="842">
        <v>900</v>
      </c>
      <c r="R55" s="842">
        <v>0</v>
      </c>
      <c r="S55" s="842">
        <v>0</v>
      </c>
      <c r="T55" s="842">
        <v>900</v>
      </c>
      <c r="U55" s="842">
        <v>0</v>
      </c>
      <c r="V55" s="842">
        <v>0</v>
      </c>
      <c r="W55" s="842">
        <v>0</v>
      </c>
      <c r="X55" s="985">
        <v>1</v>
      </c>
    </row>
    <row r="56" spans="1:24" s="330" customFormat="1" ht="31.5">
      <c r="A56" s="838" t="s">
        <v>2469</v>
      </c>
      <c r="B56" s="840" t="s">
        <v>2295</v>
      </c>
      <c r="C56" s="842">
        <v>1259.6990000000001</v>
      </c>
      <c r="D56" s="842">
        <v>46.698999999999998</v>
      </c>
      <c r="E56" s="842">
        <v>1213</v>
      </c>
      <c r="F56" s="842">
        <v>0</v>
      </c>
      <c r="G56" s="842">
        <v>389.80099999999999</v>
      </c>
      <c r="H56" s="842">
        <v>0</v>
      </c>
      <c r="I56" s="842">
        <v>0</v>
      </c>
      <c r="J56" s="842">
        <v>0</v>
      </c>
      <c r="K56" s="842">
        <v>0</v>
      </c>
      <c r="L56" s="842">
        <v>0</v>
      </c>
      <c r="M56" s="842">
        <v>0</v>
      </c>
      <c r="N56" s="842">
        <v>0</v>
      </c>
      <c r="O56" s="842">
        <v>0</v>
      </c>
      <c r="P56" s="842">
        <v>0</v>
      </c>
      <c r="Q56" s="842">
        <v>389.80099999999999</v>
      </c>
      <c r="R56" s="842">
        <v>0</v>
      </c>
      <c r="S56" s="842">
        <v>0</v>
      </c>
      <c r="T56" s="842">
        <v>389.80099999999999</v>
      </c>
      <c r="U56" s="842">
        <v>0</v>
      </c>
      <c r="V56" s="842">
        <v>0</v>
      </c>
      <c r="W56" s="842">
        <v>0</v>
      </c>
      <c r="X56" s="985">
        <v>0.30943979474461752</v>
      </c>
    </row>
    <row r="57" spans="1:24" s="330" customFormat="1" ht="31.5">
      <c r="A57" s="838" t="s">
        <v>2469</v>
      </c>
      <c r="B57" s="840" t="s">
        <v>2541</v>
      </c>
      <c r="C57" s="842">
        <v>209.38900000000001</v>
      </c>
      <c r="D57" s="842">
        <v>0</v>
      </c>
      <c r="E57" s="842">
        <v>0</v>
      </c>
      <c r="F57" s="842">
        <v>209.38900000000001</v>
      </c>
      <c r="G57" s="842">
        <v>209.38900000000001</v>
      </c>
      <c r="H57" s="842">
        <v>0</v>
      </c>
      <c r="I57" s="842">
        <v>0</v>
      </c>
      <c r="J57" s="842">
        <v>0</v>
      </c>
      <c r="K57" s="842">
        <v>0</v>
      </c>
      <c r="L57" s="842">
        <v>0</v>
      </c>
      <c r="M57" s="842">
        <v>0</v>
      </c>
      <c r="N57" s="842">
        <v>0</v>
      </c>
      <c r="O57" s="842">
        <v>0</v>
      </c>
      <c r="P57" s="842">
        <v>0</v>
      </c>
      <c r="Q57" s="842">
        <v>209.38900000000001</v>
      </c>
      <c r="R57" s="842">
        <v>0</v>
      </c>
      <c r="S57" s="842">
        <v>0</v>
      </c>
      <c r="T57" s="842">
        <v>209.38900000000001</v>
      </c>
      <c r="U57" s="842">
        <v>0</v>
      </c>
      <c r="V57" s="842">
        <v>0</v>
      </c>
      <c r="W57" s="842">
        <v>0</v>
      </c>
      <c r="X57" s="985">
        <v>1</v>
      </c>
    </row>
    <row r="58" spans="1:24" s="330" customFormat="1" ht="31.5">
      <c r="A58" s="838" t="s">
        <v>2469</v>
      </c>
      <c r="B58" s="840" t="s">
        <v>2296</v>
      </c>
      <c r="C58" s="842">
        <v>6400</v>
      </c>
      <c r="D58" s="842">
        <v>0</v>
      </c>
      <c r="E58" s="842">
        <v>0</v>
      </c>
      <c r="F58" s="842">
        <v>6400</v>
      </c>
      <c r="G58" s="842">
        <v>96.92</v>
      </c>
      <c r="H58" s="842">
        <v>0</v>
      </c>
      <c r="I58" s="842">
        <v>0</v>
      </c>
      <c r="J58" s="842">
        <v>0</v>
      </c>
      <c r="K58" s="842">
        <v>0</v>
      </c>
      <c r="L58" s="842">
        <v>0</v>
      </c>
      <c r="M58" s="842">
        <v>0</v>
      </c>
      <c r="N58" s="842">
        <v>0</v>
      </c>
      <c r="O58" s="842">
        <v>0</v>
      </c>
      <c r="P58" s="842">
        <v>0</v>
      </c>
      <c r="Q58" s="842">
        <v>96.92</v>
      </c>
      <c r="R58" s="842">
        <v>0</v>
      </c>
      <c r="S58" s="842">
        <v>0</v>
      </c>
      <c r="T58" s="842">
        <v>96.92</v>
      </c>
      <c r="U58" s="842">
        <v>0</v>
      </c>
      <c r="V58" s="842">
        <v>0</v>
      </c>
      <c r="W58" s="842">
        <v>0</v>
      </c>
      <c r="X58" s="985">
        <v>1.5143750000000001E-2</v>
      </c>
    </row>
    <row r="59" spans="1:24" s="330" customFormat="1" ht="47.25">
      <c r="A59" s="838" t="s">
        <v>2469</v>
      </c>
      <c r="B59" s="840" t="s">
        <v>2297</v>
      </c>
      <c r="C59" s="842">
        <v>10117</v>
      </c>
      <c r="D59" s="842">
        <v>0</v>
      </c>
      <c r="E59" s="842">
        <v>0</v>
      </c>
      <c r="F59" s="842">
        <v>10117</v>
      </c>
      <c r="G59" s="842">
        <v>176.24302399999999</v>
      </c>
      <c r="H59" s="842">
        <v>0</v>
      </c>
      <c r="I59" s="842">
        <v>0</v>
      </c>
      <c r="J59" s="842">
        <v>0</v>
      </c>
      <c r="K59" s="842">
        <v>0</v>
      </c>
      <c r="L59" s="842">
        <v>0</v>
      </c>
      <c r="M59" s="842">
        <v>0</v>
      </c>
      <c r="N59" s="842">
        <v>0</v>
      </c>
      <c r="O59" s="842">
        <v>0</v>
      </c>
      <c r="P59" s="842">
        <v>0</v>
      </c>
      <c r="Q59" s="842">
        <v>176.24302399999999</v>
      </c>
      <c r="R59" s="842">
        <v>0</v>
      </c>
      <c r="S59" s="842">
        <v>0</v>
      </c>
      <c r="T59" s="842">
        <v>176.24302399999999</v>
      </c>
      <c r="U59" s="842">
        <v>0</v>
      </c>
      <c r="V59" s="842">
        <v>0</v>
      </c>
      <c r="W59" s="842">
        <v>0</v>
      </c>
      <c r="X59" s="985">
        <v>1.7420482751803894E-2</v>
      </c>
    </row>
    <row r="60" spans="1:24" s="330" customFormat="1" ht="31.5">
      <c r="A60" s="838" t="s">
        <v>2469</v>
      </c>
      <c r="B60" s="840" t="s">
        <v>2298</v>
      </c>
      <c r="C60" s="842">
        <v>86387.456300000005</v>
      </c>
      <c r="D60" s="842">
        <v>76378.456300000005</v>
      </c>
      <c r="E60" s="842">
        <v>10009</v>
      </c>
      <c r="F60" s="842">
        <v>0</v>
      </c>
      <c r="G60" s="842">
        <v>44950.368000000002</v>
      </c>
      <c r="H60" s="842">
        <v>0</v>
      </c>
      <c r="I60" s="842">
        <v>0</v>
      </c>
      <c r="J60" s="842">
        <v>0</v>
      </c>
      <c r="K60" s="842">
        <v>0</v>
      </c>
      <c r="L60" s="842">
        <v>0</v>
      </c>
      <c r="M60" s="842">
        <v>0</v>
      </c>
      <c r="N60" s="842">
        <v>0</v>
      </c>
      <c r="O60" s="842">
        <v>0</v>
      </c>
      <c r="P60" s="842">
        <v>0</v>
      </c>
      <c r="Q60" s="842">
        <v>44950.368000000002</v>
      </c>
      <c r="R60" s="842">
        <v>0</v>
      </c>
      <c r="S60" s="842">
        <v>0</v>
      </c>
      <c r="T60" s="842">
        <v>44950.368000000002</v>
      </c>
      <c r="U60" s="842">
        <v>0</v>
      </c>
      <c r="V60" s="842">
        <v>0</v>
      </c>
      <c r="W60" s="842">
        <v>0</v>
      </c>
      <c r="X60" s="985">
        <v>0.52033443193303053</v>
      </c>
    </row>
    <row r="61" spans="1:24" s="330" customFormat="1" ht="47.25">
      <c r="A61" s="838" t="s">
        <v>2469</v>
      </c>
      <c r="B61" s="840" t="s">
        <v>2299</v>
      </c>
      <c r="C61" s="842">
        <v>5123.8239999999996</v>
      </c>
      <c r="D61" s="842">
        <v>1293.8240000000001</v>
      </c>
      <c r="E61" s="842">
        <v>130</v>
      </c>
      <c r="F61" s="842">
        <v>3700</v>
      </c>
      <c r="G61" s="842">
        <v>5122.643</v>
      </c>
      <c r="H61" s="842">
        <v>0</v>
      </c>
      <c r="I61" s="842">
        <v>0</v>
      </c>
      <c r="J61" s="842">
        <v>0</v>
      </c>
      <c r="K61" s="842">
        <v>0</v>
      </c>
      <c r="L61" s="842">
        <v>0</v>
      </c>
      <c r="M61" s="842">
        <v>0</v>
      </c>
      <c r="N61" s="842">
        <v>0</v>
      </c>
      <c r="O61" s="842">
        <v>0</v>
      </c>
      <c r="P61" s="842">
        <v>0</v>
      </c>
      <c r="Q61" s="842">
        <v>5122.643</v>
      </c>
      <c r="R61" s="842">
        <v>0</v>
      </c>
      <c r="S61" s="842">
        <v>0</v>
      </c>
      <c r="T61" s="842">
        <v>5122.643</v>
      </c>
      <c r="U61" s="842">
        <v>0</v>
      </c>
      <c r="V61" s="842">
        <v>0</v>
      </c>
      <c r="W61" s="842">
        <v>0</v>
      </c>
      <c r="X61" s="985">
        <v>0.99976950808614828</v>
      </c>
    </row>
    <row r="62" spans="1:24" s="330" customFormat="1" ht="31.5">
      <c r="A62" s="838" t="s">
        <v>2469</v>
      </c>
      <c r="B62" s="840" t="s">
        <v>2300</v>
      </c>
      <c r="C62" s="842">
        <v>5126.4750000000004</v>
      </c>
      <c r="D62" s="842">
        <v>1401.2639999999999</v>
      </c>
      <c r="E62" s="842">
        <v>1474</v>
      </c>
      <c r="F62" s="842">
        <v>2251.2109999999998</v>
      </c>
      <c r="G62" s="842">
        <v>5126.4750000000004</v>
      </c>
      <c r="H62" s="842">
        <v>0</v>
      </c>
      <c r="I62" s="842">
        <v>0</v>
      </c>
      <c r="J62" s="842">
        <v>0</v>
      </c>
      <c r="K62" s="842">
        <v>0</v>
      </c>
      <c r="L62" s="842">
        <v>0</v>
      </c>
      <c r="M62" s="842">
        <v>0</v>
      </c>
      <c r="N62" s="842">
        <v>0</v>
      </c>
      <c r="O62" s="842">
        <v>0</v>
      </c>
      <c r="P62" s="842">
        <v>0</v>
      </c>
      <c r="Q62" s="842">
        <v>5126.4750000000004</v>
      </c>
      <c r="R62" s="842">
        <v>0</v>
      </c>
      <c r="S62" s="842">
        <v>0</v>
      </c>
      <c r="T62" s="842">
        <v>5126.4750000000004</v>
      </c>
      <c r="U62" s="842">
        <v>0</v>
      </c>
      <c r="V62" s="842">
        <v>0</v>
      </c>
      <c r="W62" s="842">
        <v>0</v>
      </c>
      <c r="X62" s="985">
        <v>1</v>
      </c>
    </row>
    <row r="63" spans="1:24" s="330" customFormat="1" ht="47.25">
      <c r="A63" s="838" t="s">
        <v>2469</v>
      </c>
      <c r="B63" s="840" t="s">
        <v>2301</v>
      </c>
      <c r="C63" s="842">
        <v>26886.15</v>
      </c>
      <c r="D63" s="842">
        <v>6886.15</v>
      </c>
      <c r="E63" s="842">
        <v>20000</v>
      </c>
      <c r="F63" s="842">
        <v>0</v>
      </c>
      <c r="G63" s="842">
        <v>21914.002</v>
      </c>
      <c r="H63" s="842">
        <v>0</v>
      </c>
      <c r="I63" s="842">
        <v>0</v>
      </c>
      <c r="J63" s="842">
        <v>0</v>
      </c>
      <c r="K63" s="842">
        <v>0</v>
      </c>
      <c r="L63" s="842">
        <v>0</v>
      </c>
      <c r="M63" s="842">
        <v>0</v>
      </c>
      <c r="N63" s="842">
        <v>0</v>
      </c>
      <c r="O63" s="842">
        <v>0</v>
      </c>
      <c r="P63" s="842">
        <v>0</v>
      </c>
      <c r="Q63" s="842">
        <v>21914.002</v>
      </c>
      <c r="R63" s="842">
        <v>0</v>
      </c>
      <c r="S63" s="842">
        <v>0</v>
      </c>
      <c r="T63" s="842">
        <v>21914.002</v>
      </c>
      <c r="U63" s="842">
        <v>0</v>
      </c>
      <c r="V63" s="842">
        <v>0</v>
      </c>
      <c r="W63" s="842">
        <v>0</v>
      </c>
      <c r="X63" s="985">
        <v>0.8150665677309693</v>
      </c>
    </row>
    <row r="64" spans="1:24" s="330" customFormat="1" ht="63">
      <c r="A64" s="838" t="s">
        <v>2469</v>
      </c>
      <c r="B64" s="840" t="s">
        <v>2302</v>
      </c>
      <c r="C64" s="842">
        <v>74</v>
      </c>
      <c r="D64" s="842">
        <v>0</v>
      </c>
      <c r="E64" s="842">
        <v>74</v>
      </c>
      <c r="F64" s="842">
        <v>0</v>
      </c>
      <c r="G64" s="842">
        <v>73.709000000000003</v>
      </c>
      <c r="H64" s="842">
        <v>0</v>
      </c>
      <c r="I64" s="842">
        <v>0</v>
      </c>
      <c r="J64" s="842">
        <v>0</v>
      </c>
      <c r="K64" s="842">
        <v>0</v>
      </c>
      <c r="L64" s="842">
        <v>0</v>
      </c>
      <c r="M64" s="842">
        <v>0</v>
      </c>
      <c r="N64" s="842">
        <v>0</v>
      </c>
      <c r="O64" s="842">
        <v>0</v>
      </c>
      <c r="P64" s="842">
        <v>0</v>
      </c>
      <c r="Q64" s="842">
        <v>73.709000000000003</v>
      </c>
      <c r="R64" s="842">
        <v>0</v>
      </c>
      <c r="S64" s="842">
        <v>0</v>
      </c>
      <c r="T64" s="842">
        <v>73.709000000000003</v>
      </c>
      <c r="U64" s="842">
        <v>0</v>
      </c>
      <c r="V64" s="842">
        <v>0</v>
      </c>
      <c r="W64" s="842">
        <v>0</v>
      </c>
      <c r="X64" s="985">
        <v>0.99606756756756765</v>
      </c>
    </row>
    <row r="65" spans="1:24" s="330" customFormat="1" ht="47.25">
      <c r="A65" s="838" t="s">
        <v>2469</v>
      </c>
      <c r="B65" s="840" t="s">
        <v>2303</v>
      </c>
      <c r="C65" s="842">
        <v>2574.2494999999999</v>
      </c>
      <c r="D65" s="842">
        <v>274.24950000000001</v>
      </c>
      <c r="E65" s="842">
        <v>2300</v>
      </c>
      <c r="F65" s="842">
        <v>0</v>
      </c>
      <c r="G65" s="842">
        <v>2397.6044999999999</v>
      </c>
      <c r="H65" s="842">
        <v>0</v>
      </c>
      <c r="I65" s="842">
        <v>0</v>
      </c>
      <c r="J65" s="842">
        <v>0</v>
      </c>
      <c r="K65" s="842">
        <v>0</v>
      </c>
      <c r="L65" s="842">
        <v>0</v>
      </c>
      <c r="M65" s="842">
        <v>0</v>
      </c>
      <c r="N65" s="842">
        <v>0</v>
      </c>
      <c r="O65" s="842">
        <v>0</v>
      </c>
      <c r="P65" s="842">
        <v>0</v>
      </c>
      <c r="Q65" s="842">
        <v>0</v>
      </c>
      <c r="R65" s="842">
        <v>0</v>
      </c>
      <c r="S65" s="842">
        <v>0</v>
      </c>
      <c r="T65" s="842">
        <v>0</v>
      </c>
      <c r="U65" s="842">
        <v>2397.6044999999999</v>
      </c>
      <c r="V65" s="842">
        <v>0</v>
      </c>
      <c r="W65" s="842">
        <v>0</v>
      </c>
      <c r="X65" s="985">
        <v>0.93138000026803924</v>
      </c>
    </row>
    <row r="66" spans="1:24" s="330" customFormat="1" ht="63">
      <c r="A66" s="838" t="s">
        <v>2469</v>
      </c>
      <c r="B66" s="840" t="s">
        <v>2304</v>
      </c>
      <c r="C66" s="842">
        <v>3070</v>
      </c>
      <c r="D66" s="842">
        <v>0</v>
      </c>
      <c r="E66" s="842">
        <v>3070</v>
      </c>
      <c r="F66" s="842">
        <v>0</v>
      </c>
      <c r="G66" s="842">
        <v>3069.9998089999999</v>
      </c>
      <c r="H66" s="842">
        <v>0</v>
      </c>
      <c r="I66" s="842">
        <v>0</v>
      </c>
      <c r="J66" s="842">
        <v>0</v>
      </c>
      <c r="K66" s="842">
        <v>0</v>
      </c>
      <c r="L66" s="842">
        <v>0</v>
      </c>
      <c r="M66" s="842">
        <v>0</v>
      </c>
      <c r="N66" s="842">
        <v>0</v>
      </c>
      <c r="O66" s="842">
        <v>0</v>
      </c>
      <c r="P66" s="842">
        <v>3069.9998089999999</v>
      </c>
      <c r="Q66" s="842">
        <v>0</v>
      </c>
      <c r="R66" s="842">
        <v>0</v>
      </c>
      <c r="S66" s="842">
        <v>0</v>
      </c>
      <c r="T66" s="842">
        <v>0</v>
      </c>
      <c r="U66" s="842">
        <v>0</v>
      </c>
      <c r="V66" s="842">
        <v>0</v>
      </c>
      <c r="W66" s="842">
        <v>0</v>
      </c>
      <c r="X66" s="985">
        <v>0.99999993778501628</v>
      </c>
    </row>
    <row r="67" spans="1:24" s="330" customFormat="1" ht="47.25">
      <c r="A67" s="838" t="s">
        <v>2469</v>
      </c>
      <c r="B67" s="840" t="s">
        <v>2542</v>
      </c>
      <c r="C67" s="842">
        <v>2300</v>
      </c>
      <c r="D67" s="842">
        <v>0</v>
      </c>
      <c r="E67" s="842">
        <v>0</v>
      </c>
      <c r="F67" s="842">
        <v>2300</v>
      </c>
      <c r="G67" s="842">
        <v>705.78200000000004</v>
      </c>
      <c r="H67" s="842">
        <v>0</v>
      </c>
      <c r="I67" s="842">
        <v>0</v>
      </c>
      <c r="J67" s="842">
        <v>0</v>
      </c>
      <c r="K67" s="842">
        <v>0</v>
      </c>
      <c r="L67" s="842">
        <v>0</v>
      </c>
      <c r="M67" s="842">
        <v>0</v>
      </c>
      <c r="N67" s="842">
        <v>0</v>
      </c>
      <c r="O67" s="842">
        <v>0</v>
      </c>
      <c r="P67" s="842">
        <v>0</v>
      </c>
      <c r="Q67" s="842">
        <v>705.78200000000004</v>
      </c>
      <c r="R67" s="842">
        <v>0</v>
      </c>
      <c r="S67" s="842">
        <v>0</v>
      </c>
      <c r="T67" s="842">
        <v>705.78200000000004</v>
      </c>
      <c r="U67" s="842">
        <v>0</v>
      </c>
      <c r="V67" s="842">
        <v>0</v>
      </c>
      <c r="W67" s="842">
        <v>0</v>
      </c>
      <c r="X67" s="985">
        <v>0.3068617391304348</v>
      </c>
    </row>
    <row r="68" spans="1:24" s="330" customFormat="1" ht="47.25">
      <c r="A68" s="838" t="s">
        <v>2469</v>
      </c>
      <c r="B68" s="839" t="s">
        <v>2543</v>
      </c>
      <c r="C68" s="842">
        <v>3200</v>
      </c>
      <c r="D68" s="842">
        <v>0</v>
      </c>
      <c r="E68" s="842">
        <v>0</v>
      </c>
      <c r="F68" s="842">
        <v>3200</v>
      </c>
      <c r="G68" s="842">
        <v>1272.049</v>
      </c>
      <c r="H68" s="842">
        <v>0</v>
      </c>
      <c r="I68" s="842">
        <v>0</v>
      </c>
      <c r="J68" s="842">
        <v>0</v>
      </c>
      <c r="K68" s="842">
        <v>0</v>
      </c>
      <c r="L68" s="842">
        <v>0</v>
      </c>
      <c r="M68" s="842">
        <v>0</v>
      </c>
      <c r="N68" s="842">
        <v>0</v>
      </c>
      <c r="O68" s="842">
        <v>0</v>
      </c>
      <c r="P68" s="842">
        <v>0</v>
      </c>
      <c r="Q68" s="842">
        <v>1272.049</v>
      </c>
      <c r="R68" s="842">
        <v>0</v>
      </c>
      <c r="S68" s="842">
        <v>0</v>
      </c>
      <c r="T68" s="842">
        <v>1272.049</v>
      </c>
      <c r="U68" s="842">
        <v>0</v>
      </c>
      <c r="V68" s="842">
        <v>0</v>
      </c>
      <c r="W68" s="842">
        <v>0</v>
      </c>
      <c r="X68" s="985">
        <v>0.3975153125</v>
      </c>
    </row>
    <row r="69" spans="1:24" s="330" customFormat="1">
      <c r="A69" s="838" t="s">
        <v>1982</v>
      </c>
      <c r="B69" s="840" t="s">
        <v>2253</v>
      </c>
      <c r="C69" s="842">
        <v>6025.357</v>
      </c>
      <c r="D69" s="842">
        <v>25.356999999999999</v>
      </c>
      <c r="E69" s="842">
        <v>6000</v>
      </c>
      <c r="F69" s="842">
        <v>0</v>
      </c>
      <c r="G69" s="842">
        <v>5743.634</v>
      </c>
      <c r="H69" s="842">
        <v>0</v>
      </c>
      <c r="I69" s="842">
        <v>0</v>
      </c>
      <c r="J69" s="842">
        <v>0</v>
      </c>
      <c r="K69" s="842">
        <v>0</v>
      </c>
      <c r="L69" s="842">
        <v>0</v>
      </c>
      <c r="M69" s="842">
        <v>0</v>
      </c>
      <c r="N69" s="842">
        <v>5743.634</v>
      </c>
      <c r="O69" s="842">
        <v>0</v>
      </c>
      <c r="P69" s="842">
        <v>0</v>
      </c>
      <c r="Q69" s="842">
        <v>0</v>
      </c>
      <c r="R69" s="842">
        <v>0</v>
      </c>
      <c r="S69" s="842">
        <v>0</v>
      </c>
      <c r="T69" s="842">
        <v>0</v>
      </c>
      <c r="U69" s="842">
        <v>0</v>
      </c>
      <c r="V69" s="842">
        <v>0</v>
      </c>
      <c r="W69" s="842">
        <v>0</v>
      </c>
      <c r="X69" s="985">
        <v>0.95324376630297591</v>
      </c>
    </row>
    <row r="70" spans="1:24" s="330" customFormat="1" ht="47.25">
      <c r="A70" s="838" t="s">
        <v>2469</v>
      </c>
      <c r="B70" s="840" t="s">
        <v>2305</v>
      </c>
      <c r="C70" s="842">
        <v>6025.357</v>
      </c>
      <c r="D70" s="842">
        <v>25.356999999999999</v>
      </c>
      <c r="E70" s="842">
        <v>6000</v>
      </c>
      <c r="F70" s="842">
        <v>0</v>
      </c>
      <c r="G70" s="842">
        <v>5743.634</v>
      </c>
      <c r="H70" s="842">
        <v>0</v>
      </c>
      <c r="I70" s="842">
        <v>0</v>
      </c>
      <c r="J70" s="842">
        <v>0</v>
      </c>
      <c r="K70" s="842">
        <v>0</v>
      </c>
      <c r="L70" s="842">
        <v>0</v>
      </c>
      <c r="M70" s="842">
        <v>0</v>
      </c>
      <c r="N70" s="842">
        <v>5743.634</v>
      </c>
      <c r="O70" s="842">
        <v>0</v>
      </c>
      <c r="P70" s="842">
        <v>0</v>
      </c>
      <c r="Q70" s="842">
        <v>0</v>
      </c>
      <c r="R70" s="842">
        <v>0</v>
      </c>
      <c r="S70" s="842">
        <v>0</v>
      </c>
      <c r="T70" s="842">
        <v>0</v>
      </c>
      <c r="U70" s="842">
        <v>0</v>
      </c>
      <c r="V70" s="842">
        <v>0</v>
      </c>
      <c r="W70" s="842">
        <v>0</v>
      </c>
      <c r="X70" s="985">
        <v>0.95324376630297591</v>
      </c>
    </row>
    <row r="71" spans="1:24" s="330" customFormat="1">
      <c r="A71" s="838" t="s">
        <v>1983</v>
      </c>
      <c r="B71" s="839" t="s">
        <v>451</v>
      </c>
      <c r="C71" s="842">
        <v>1801.119019</v>
      </c>
      <c r="D71" s="842">
        <v>1801.119019</v>
      </c>
      <c r="E71" s="842">
        <v>0</v>
      </c>
      <c r="F71" s="842">
        <v>0</v>
      </c>
      <c r="G71" s="842">
        <v>1526.076</v>
      </c>
      <c r="H71" s="842">
        <v>0</v>
      </c>
      <c r="I71" s="842">
        <v>0</v>
      </c>
      <c r="J71" s="842">
        <v>0</v>
      </c>
      <c r="K71" s="842">
        <v>0</v>
      </c>
      <c r="L71" s="842">
        <v>0</v>
      </c>
      <c r="M71" s="842">
        <v>0</v>
      </c>
      <c r="N71" s="842">
        <v>0</v>
      </c>
      <c r="O71" s="842">
        <v>0</v>
      </c>
      <c r="P71" s="842">
        <v>0</v>
      </c>
      <c r="Q71" s="842">
        <v>0</v>
      </c>
      <c r="R71" s="842">
        <v>0</v>
      </c>
      <c r="S71" s="842">
        <v>0</v>
      </c>
      <c r="T71" s="842">
        <v>0</v>
      </c>
      <c r="U71" s="842">
        <v>1526.076</v>
      </c>
      <c r="V71" s="842">
        <v>0</v>
      </c>
      <c r="W71" s="842">
        <v>0</v>
      </c>
      <c r="X71" s="985">
        <v>0.84729325708152992</v>
      </c>
    </row>
    <row r="72" spans="1:24" s="330" customFormat="1" ht="78.75">
      <c r="A72" s="838" t="s">
        <v>2469</v>
      </c>
      <c r="B72" s="840" t="s">
        <v>2306</v>
      </c>
      <c r="C72" s="842">
        <v>1801.119019</v>
      </c>
      <c r="D72" s="842">
        <v>1801.119019</v>
      </c>
      <c r="E72" s="842">
        <v>0</v>
      </c>
      <c r="F72" s="842">
        <v>0</v>
      </c>
      <c r="G72" s="842">
        <v>1526.076</v>
      </c>
      <c r="H72" s="842">
        <v>0</v>
      </c>
      <c r="I72" s="842">
        <v>0</v>
      </c>
      <c r="J72" s="842">
        <v>0</v>
      </c>
      <c r="K72" s="842">
        <v>0</v>
      </c>
      <c r="L72" s="842">
        <v>0</v>
      </c>
      <c r="M72" s="842">
        <v>0</v>
      </c>
      <c r="N72" s="842">
        <v>0</v>
      </c>
      <c r="O72" s="842">
        <v>0</v>
      </c>
      <c r="P72" s="842">
        <v>0</v>
      </c>
      <c r="Q72" s="842">
        <v>0</v>
      </c>
      <c r="R72" s="842">
        <v>0</v>
      </c>
      <c r="S72" s="842">
        <v>0</v>
      </c>
      <c r="T72" s="842">
        <v>0</v>
      </c>
      <c r="U72" s="842">
        <v>1526.076</v>
      </c>
      <c r="V72" s="842">
        <v>0</v>
      </c>
      <c r="W72" s="842">
        <v>0</v>
      </c>
      <c r="X72" s="985">
        <v>0.84729325708152992</v>
      </c>
    </row>
    <row r="73" spans="1:24" s="330" customFormat="1">
      <c r="A73" s="838" t="s">
        <v>1984</v>
      </c>
      <c r="B73" s="840" t="s">
        <v>2254</v>
      </c>
      <c r="C73" s="842">
        <v>2064.527881</v>
      </c>
      <c r="D73" s="842">
        <v>319.52788099999998</v>
      </c>
      <c r="E73" s="842">
        <v>0</v>
      </c>
      <c r="F73" s="842">
        <v>1745</v>
      </c>
      <c r="G73" s="842">
        <v>319.52788099999998</v>
      </c>
      <c r="H73" s="842">
        <v>0</v>
      </c>
      <c r="I73" s="842">
        <v>0</v>
      </c>
      <c r="J73" s="842">
        <v>0</v>
      </c>
      <c r="K73" s="842">
        <v>0</v>
      </c>
      <c r="L73" s="842">
        <v>0</v>
      </c>
      <c r="M73" s="842">
        <v>0</v>
      </c>
      <c r="N73" s="842">
        <v>319.52788099999998</v>
      </c>
      <c r="O73" s="842">
        <v>0</v>
      </c>
      <c r="P73" s="842">
        <v>0</v>
      </c>
      <c r="Q73" s="842">
        <v>0</v>
      </c>
      <c r="R73" s="842">
        <v>0</v>
      </c>
      <c r="S73" s="842">
        <v>0</v>
      </c>
      <c r="T73" s="842">
        <v>0</v>
      </c>
      <c r="U73" s="842">
        <v>0</v>
      </c>
      <c r="V73" s="842">
        <v>0</v>
      </c>
      <c r="W73" s="842">
        <v>0</v>
      </c>
      <c r="X73" s="985">
        <v>0.15477043635043067</v>
      </c>
    </row>
    <row r="74" spans="1:24" s="330" customFormat="1" ht="47.25">
      <c r="A74" s="838" t="s">
        <v>2469</v>
      </c>
      <c r="B74" s="840" t="s">
        <v>2544</v>
      </c>
      <c r="C74" s="842">
        <v>2064.527881</v>
      </c>
      <c r="D74" s="842">
        <v>319.52788099999998</v>
      </c>
      <c r="E74" s="842">
        <v>0</v>
      </c>
      <c r="F74" s="842">
        <v>1745</v>
      </c>
      <c r="G74" s="842">
        <v>319.52788099999998</v>
      </c>
      <c r="H74" s="842">
        <v>0</v>
      </c>
      <c r="I74" s="842">
        <v>0</v>
      </c>
      <c r="J74" s="842">
        <v>0</v>
      </c>
      <c r="K74" s="842">
        <v>0</v>
      </c>
      <c r="L74" s="842">
        <v>0</v>
      </c>
      <c r="M74" s="842">
        <v>0</v>
      </c>
      <c r="N74" s="842">
        <v>319.52788099999998</v>
      </c>
      <c r="O74" s="842">
        <v>0</v>
      </c>
      <c r="P74" s="842">
        <v>0</v>
      </c>
      <c r="Q74" s="842">
        <v>0</v>
      </c>
      <c r="R74" s="842">
        <v>0</v>
      </c>
      <c r="S74" s="842">
        <v>0</v>
      </c>
      <c r="T74" s="842">
        <v>0</v>
      </c>
      <c r="U74" s="842">
        <v>0</v>
      </c>
      <c r="V74" s="842">
        <v>0</v>
      </c>
      <c r="W74" s="842">
        <v>0</v>
      </c>
      <c r="X74" s="985">
        <v>0.15477043635043067</v>
      </c>
    </row>
    <row r="75" spans="1:24" s="330" customFormat="1">
      <c r="A75" s="838" t="s">
        <v>1985</v>
      </c>
      <c r="B75" s="840" t="s">
        <v>557</v>
      </c>
      <c r="C75" s="842">
        <v>832.721</v>
      </c>
      <c r="D75" s="842">
        <v>90.671000000000006</v>
      </c>
      <c r="E75" s="842">
        <v>0</v>
      </c>
      <c r="F75" s="842">
        <v>742.05</v>
      </c>
      <c r="G75" s="842">
        <v>832.721</v>
      </c>
      <c r="H75" s="842">
        <v>0</v>
      </c>
      <c r="I75" s="842">
        <v>0</v>
      </c>
      <c r="J75" s="842">
        <v>0</v>
      </c>
      <c r="K75" s="842">
        <v>0</v>
      </c>
      <c r="L75" s="842">
        <v>0</v>
      </c>
      <c r="M75" s="842">
        <v>0</v>
      </c>
      <c r="N75" s="842">
        <v>0</v>
      </c>
      <c r="O75" s="842">
        <v>0</v>
      </c>
      <c r="P75" s="842">
        <v>0</v>
      </c>
      <c r="Q75" s="842">
        <v>832.721</v>
      </c>
      <c r="R75" s="842">
        <v>0</v>
      </c>
      <c r="S75" s="842">
        <v>0</v>
      </c>
      <c r="T75" s="842">
        <v>832.721</v>
      </c>
      <c r="U75" s="842">
        <v>0</v>
      </c>
      <c r="V75" s="842">
        <v>0</v>
      </c>
      <c r="W75" s="842">
        <v>0</v>
      </c>
      <c r="X75" s="985">
        <v>1</v>
      </c>
    </row>
    <row r="76" spans="1:24" s="330" customFormat="1" ht="31.5">
      <c r="A76" s="838" t="s">
        <v>2469</v>
      </c>
      <c r="B76" s="839" t="s">
        <v>2307</v>
      </c>
      <c r="C76" s="842">
        <v>832.721</v>
      </c>
      <c r="D76" s="842">
        <v>90.671000000000006</v>
      </c>
      <c r="E76" s="842">
        <v>0</v>
      </c>
      <c r="F76" s="842">
        <v>742.05</v>
      </c>
      <c r="G76" s="842">
        <v>832.721</v>
      </c>
      <c r="H76" s="842">
        <v>0</v>
      </c>
      <c r="I76" s="842">
        <v>0</v>
      </c>
      <c r="J76" s="842">
        <v>0</v>
      </c>
      <c r="K76" s="842">
        <v>0</v>
      </c>
      <c r="L76" s="842">
        <v>0</v>
      </c>
      <c r="M76" s="842">
        <v>0</v>
      </c>
      <c r="N76" s="842">
        <v>0</v>
      </c>
      <c r="O76" s="842">
        <v>0</v>
      </c>
      <c r="P76" s="842">
        <v>0</v>
      </c>
      <c r="Q76" s="842">
        <v>832.721</v>
      </c>
      <c r="R76" s="842">
        <v>0</v>
      </c>
      <c r="S76" s="842">
        <v>0</v>
      </c>
      <c r="T76" s="842">
        <v>832.721</v>
      </c>
      <c r="U76" s="842">
        <v>0</v>
      </c>
      <c r="V76" s="842">
        <v>0</v>
      </c>
      <c r="W76" s="842">
        <v>0</v>
      </c>
      <c r="X76" s="985">
        <v>1</v>
      </c>
    </row>
    <row r="77" spans="1:24" s="330" customFormat="1">
      <c r="A77" s="838" t="s">
        <v>1986</v>
      </c>
      <c r="B77" s="840" t="s">
        <v>2545</v>
      </c>
      <c r="C77" s="842">
        <v>39153.347070999997</v>
      </c>
      <c r="D77" s="842">
        <v>0</v>
      </c>
      <c r="E77" s="842">
        <v>0</v>
      </c>
      <c r="F77" s="842">
        <v>39153.347070999997</v>
      </c>
      <c r="G77" s="842">
        <v>39153.347070999997</v>
      </c>
      <c r="H77" s="842">
        <v>0</v>
      </c>
      <c r="I77" s="842">
        <v>0</v>
      </c>
      <c r="J77" s="842">
        <v>0</v>
      </c>
      <c r="K77" s="842">
        <v>0</v>
      </c>
      <c r="L77" s="842">
        <v>0</v>
      </c>
      <c r="M77" s="842">
        <v>0</v>
      </c>
      <c r="N77" s="842">
        <v>0</v>
      </c>
      <c r="O77" s="842">
        <v>0</v>
      </c>
      <c r="P77" s="842">
        <v>0</v>
      </c>
      <c r="Q77" s="842">
        <v>39153.347070999997</v>
      </c>
      <c r="R77" s="842">
        <v>0</v>
      </c>
      <c r="S77" s="842">
        <v>0</v>
      </c>
      <c r="T77" s="842">
        <v>39153.347070999997</v>
      </c>
      <c r="U77" s="842">
        <v>0</v>
      </c>
      <c r="V77" s="842">
        <v>0</v>
      </c>
      <c r="W77" s="842">
        <v>0</v>
      </c>
      <c r="X77" s="985">
        <v>1</v>
      </c>
    </row>
    <row r="78" spans="1:24" s="330" customFormat="1" ht="31.5">
      <c r="A78" s="838" t="s">
        <v>2469</v>
      </c>
      <c r="B78" s="839" t="s">
        <v>2521</v>
      </c>
      <c r="C78" s="842">
        <v>39153.347070999997</v>
      </c>
      <c r="D78" s="842">
        <v>0</v>
      </c>
      <c r="E78" s="842">
        <v>0</v>
      </c>
      <c r="F78" s="842">
        <v>39153.347070999997</v>
      </c>
      <c r="G78" s="842">
        <v>39153.347070999997</v>
      </c>
      <c r="H78" s="842">
        <v>0</v>
      </c>
      <c r="I78" s="842">
        <v>0</v>
      </c>
      <c r="J78" s="842">
        <v>0</v>
      </c>
      <c r="K78" s="842">
        <v>0</v>
      </c>
      <c r="L78" s="842">
        <v>0</v>
      </c>
      <c r="M78" s="842">
        <v>0</v>
      </c>
      <c r="N78" s="842">
        <v>0</v>
      </c>
      <c r="O78" s="842">
        <v>0</v>
      </c>
      <c r="P78" s="842">
        <v>0</v>
      </c>
      <c r="Q78" s="842">
        <v>39153.347070999997</v>
      </c>
      <c r="R78" s="842">
        <v>0</v>
      </c>
      <c r="S78" s="842">
        <v>0</v>
      </c>
      <c r="T78" s="842">
        <v>39153.347070999997</v>
      </c>
      <c r="U78" s="842">
        <v>0</v>
      </c>
      <c r="V78" s="842">
        <v>0</v>
      </c>
      <c r="W78" s="842">
        <v>0</v>
      </c>
      <c r="X78" s="985">
        <v>1</v>
      </c>
    </row>
    <row r="79" spans="1:24" s="330" customFormat="1">
      <c r="A79" s="838" t="s">
        <v>1987</v>
      </c>
      <c r="B79" s="840" t="s">
        <v>2520</v>
      </c>
      <c r="C79" s="842">
        <v>1065021.9733259999</v>
      </c>
      <c r="D79" s="842">
        <v>336946.45402800001</v>
      </c>
      <c r="E79" s="842">
        <v>510235.17920999997</v>
      </c>
      <c r="F79" s="842">
        <v>217840.340088</v>
      </c>
      <c r="G79" s="842">
        <v>495110.99056399998</v>
      </c>
      <c r="H79" s="842">
        <v>132113.90025899999</v>
      </c>
      <c r="I79" s="842">
        <v>0</v>
      </c>
      <c r="J79" s="842">
        <v>38309.39</v>
      </c>
      <c r="K79" s="842">
        <v>6097.8445000000002</v>
      </c>
      <c r="L79" s="842">
        <v>44600.758650000003</v>
      </c>
      <c r="M79" s="842">
        <v>14189.02</v>
      </c>
      <c r="N79" s="842">
        <v>6486.9549999999999</v>
      </c>
      <c r="O79" s="842">
        <v>9093.3889999999992</v>
      </c>
      <c r="P79" s="842">
        <v>4106.4620000000004</v>
      </c>
      <c r="Q79" s="842">
        <v>194082.78015499999</v>
      </c>
      <c r="R79" s="842">
        <v>5167.6499999999996</v>
      </c>
      <c r="S79" s="842">
        <v>36969.709210000001</v>
      </c>
      <c r="T79" s="842">
        <v>151945.42094499999</v>
      </c>
      <c r="U79" s="842">
        <v>14103.326999999999</v>
      </c>
      <c r="V79" s="842">
        <v>0</v>
      </c>
      <c r="W79" s="842">
        <v>2551.1640000000002</v>
      </c>
      <c r="X79" s="985">
        <v>0.46488335730557556</v>
      </c>
    </row>
    <row r="80" spans="1:24" s="330" customFormat="1" ht="31.5">
      <c r="A80" s="838" t="s">
        <v>2469</v>
      </c>
      <c r="B80" s="840" t="s">
        <v>2521</v>
      </c>
      <c r="C80" s="842">
        <v>10000</v>
      </c>
      <c r="D80" s="842">
        <v>0</v>
      </c>
      <c r="E80" s="842">
        <v>0</v>
      </c>
      <c r="F80" s="842">
        <v>10000</v>
      </c>
      <c r="G80" s="842">
        <v>10000</v>
      </c>
      <c r="H80" s="842">
        <v>0</v>
      </c>
      <c r="I80" s="842">
        <v>0</v>
      </c>
      <c r="J80" s="842">
        <v>0</v>
      </c>
      <c r="K80" s="842">
        <v>0</v>
      </c>
      <c r="L80" s="842">
        <v>0</v>
      </c>
      <c r="M80" s="842">
        <v>0</v>
      </c>
      <c r="N80" s="842">
        <v>0</v>
      </c>
      <c r="O80" s="842">
        <v>0</v>
      </c>
      <c r="P80" s="842">
        <v>0</v>
      </c>
      <c r="Q80" s="842">
        <v>0</v>
      </c>
      <c r="R80" s="842">
        <v>0</v>
      </c>
      <c r="S80" s="842">
        <v>0</v>
      </c>
      <c r="T80" s="842">
        <v>0</v>
      </c>
      <c r="U80" s="842">
        <v>0</v>
      </c>
      <c r="V80" s="842">
        <v>0</v>
      </c>
      <c r="W80" s="842">
        <v>0</v>
      </c>
      <c r="X80" s="985">
        <v>1</v>
      </c>
    </row>
    <row r="81" spans="1:24" s="330" customFormat="1" ht="31.5">
      <c r="A81" s="838" t="s">
        <v>2469</v>
      </c>
      <c r="B81" s="840" t="s">
        <v>2546</v>
      </c>
      <c r="C81" s="842">
        <v>19376</v>
      </c>
      <c r="D81" s="842">
        <v>0</v>
      </c>
      <c r="E81" s="842">
        <v>0</v>
      </c>
      <c r="F81" s="842">
        <v>19376</v>
      </c>
      <c r="G81" s="842">
        <v>19376</v>
      </c>
      <c r="H81" s="842">
        <v>0</v>
      </c>
      <c r="I81" s="842">
        <v>0</v>
      </c>
      <c r="J81" s="842">
        <v>0</v>
      </c>
      <c r="K81" s="842">
        <v>0</v>
      </c>
      <c r="L81" s="842">
        <v>0</v>
      </c>
      <c r="M81" s="842">
        <v>0</v>
      </c>
      <c r="N81" s="842">
        <v>0</v>
      </c>
      <c r="O81" s="842">
        <v>0</v>
      </c>
      <c r="P81" s="842">
        <v>0</v>
      </c>
      <c r="Q81" s="842">
        <v>0</v>
      </c>
      <c r="R81" s="842">
        <v>0</v>
      </c>
      <c r="S81" s="842">
        <v>0</v>
      </c>
      <c r="T81" s="842">
        <v>0</v>
      </c>
      <c r="U81" s="842">
        <v>0</v>
      </c>
      <c r="V81" s="842">
        <v>0</v>
      </c>
      <c r="W81" s="842">
        <v>0</v>
      </c>
      <c r="X81" s="985">
        <v>1</v>
      </c>
    </row>
    <row r="82" spans="1:24" s="330" customFormat="1">
      <c r="A82" s="838" t="s">
        <v>2469</v>
      </c>
      <c r="B82" s="839" t="s">
        <v>2308</v>
      </c>
      <c r="C82" s="842">
        <v>112368.7332</v>
      </c>
      <c r="D82" s="842">
        <v>36464.4692</v>
      </c>
      <c r="E82" s="842">
        <v>63518</v>
      </c>
      <c r="F82" s="842">
        <v>12386.263999999999</v>
      </c>
      <c r="G82" s="842">
        <v>41529.218000000001</v>
      </c>
      <c r="H82" s="842">
        <v>0</v>
      </c>
      <c r="I82" s="842">
        <v>0</v>
      </c>
      <c r="J82" s="842">
        <v>38309.39</v>
      </c>
      <c r="K82" s="842">
        <v>0</v>
      </c>
      <c r="L82" s="842">
        <v>0</v>
      </c>
      <c r="M82" s="842">
        <v>0</v>
      </c>
      <c r="N82" s="842">
        <v>0</v>
      </c>
      <c r="O82" s="842">
        <v>0</v>
      </c>
      <c r="P82" s="842">
        <v>0</v>
      </c>
      <c r="Q82" s="842">
        <v>3200</v>
      </c>
      <c r="R82" s="842">
        <v>0</v>
      </c>
      <c r="S82" s="842">
        <v>0</v>
      </c>
      <c r="T82" s="842">
        <v>3200</v>
      </c>
      <c r="U82" s="842">
        <v>0</v>
      </c>
      <c r="V82" s="842">
        <v>0</v>
      </c>
      <c r="W82" s="842">
        <v>19.827999999999999</v>
      </c>
      <c r="X82" s="985">
        <v>0.36957983611049555</v>
      </c>
    </row>
    <row r="83" spans="1:24" s="330" customFormat="1" ht="47.25">
      <c r="A83" s="838" t="s">
        <v>2469</v>
      </c>
      <c r="B83" s="840" t="s">
        <v>2547</v>
      </c>
      <c r="C83" s="842">
        <v>29647.005099999998</v>
      </c>
      <c r="D83" s="842">
        <v>22315.9791</v>
      </c>
      <c r="E83" s="842">
        <v>7331.0259999999998</v>
      </c>
      <c r="F83" s="842">
        <v>0</v>
      </c>
      <c r="G83" s="842">
        <v>4897.8445000000002</v>
      </c>
      <c r="H83" s="842">
        <v>0</v>
      </c>
      <c r="I83" s="842">
        <v>0</v>
      </c>
      <c r="J83" s="842">
        <v>0</v>
      </c>
      <c r="K83" s="842">
        <v>4897.8445000000002</v>
      </c>
      <c r="L83" s="842">
        <v>0</v>
      </c>
      <c r="M83" s="842">
        <v>0</v>
      </c>
      <c r="N83" s="842">
        <v>0</v>
      </c>
      <c r="O83" s="842">
        <v>0</v>
      </c>
      <c r="P83" s="842">
        <v>0</v>
      </c>
      <c r="Q83" s="842">
        <v>0</v>
      </c>
      <c r="R83" s="842">
        <v>0</v>
      </c>
      <c r="S83" s="842">
        <v>0</v>
      </c>
      <c r="T83" s="842">
        <v>0</v>
      </c>
      <c r="U83" s="842">
        <v>0</v>
      </c>
      <c r="V83" s="842">
        <v>0</v>
      </c>
      <c r="W83" s="842">
        <v>0</v>
      </c>
      <c r="X83" s="985">
        <v>0.16520537178981362</v>
      </c>
    </row>
    <row r="84" spans="1:24" s="330" customFormat="1" ht="31.5">
      <c r="A84" s="838" t="s">
        <v>2469</v>
      </c>
      <c r="B84" s="840" t="s">
        <v>2548</v>
      </c>
      <c r="C84" s="842">
        <v>28.189</v>
      </c>
      <c r="D84" s="842">
        <v>0</v>
      </c>
      <c r="E84" s="842">
        <v>0</v>
      </c>
      <c r="F84" s="842">
        <v>28.189</v>
      </c>
      <c r="G84" s="842">
        <v>28.189</v>
      </c>
      <c r="H84" s="842">
        <v>0</v>
      </c>
      <c r="I84" s="842">
        <v>0</v>
      </c>
      <c r="J84" s="842">
        <v>0</v>
      </c>
      <c r="K84" s="842">
        <v>0</v>
      </c>
      <c r="L84" s="842">
        <v>0</v>
      </c>
      <c r="M84" s="842">
        <v>0</v>
      </c>
      <c r="N84" s="842">
        <v>0</v>
      </c>
      <c r="O84" s="842">
        <v>0</v>
      </c>
      <c r="P84" s="842">
        <v>0</v>
      </c>
      <c r="Q84" s="842">
        <v>28.189</v>
      </c>
      <c r="R84" s="842">
        <v>0</v>
      </c>
      <c r="S84" s="842">
        <v>0</v>
      </c>
      <c r="T84" s="842">
        <v>28.189</v>
      </c>
      <c r="U84" s="842">
        <v>0</v>
      </c>
      <c r="V84" s="842">
        <v>0</v>
      </c>
      <c r="W84" s="842">
        <v>0</v>
      </c>
      <c r="X84" s="985">
        <v>1</v>
      </c>
    </row>
    <row r="85" spans="1:24" s="330" customFormat="1" ht="47.25">
      <c r="A85" s="838" t="s">
        <v>2469</v>
      </c>
      <c r="B85" s="840" t="s">
        <v>2549</v>
      </c>
      <c r="C85" s="842">
        <v>40.454999999999998</v>
      </c>
      <c r="D85" s="842">
        <v>0</v>
      </c>
      <c r="E85" s="842">
        <v>0</v>
      </c>
      <c r="F85" s="842">
        <v>40.454999999999998</v>
      </c>
      <c r="G85" s="842">
        <v>35.819000000000003</v>
      </c>
      <c r="H85" s="842">
        <v>0</v>
      </c>
      <c r="I85" s="842">
        <v>0</v>
      </c>
      <c r="J85" s="842">
        <v>0</v>
      </c>
      <c r="K85" s="842">
        <v>0</v>
      </c>
      <c r="L85" s="842">
        <v>0</v>
      </c>
      <c r="M85" s="842">
        <v>0</v>
      </c>
      <c r="N85" s="842">
        <v>0</v>
      </c>
      <c r="O85" s="842">
        <v>0</v>
      </c>
      <c r="P85" s="842">
        <v>0</v>
      </c>
      <c r="Q85" s="842">
        <v>35.819000000000003</v>
      </c>
      <c r="R85" s="842">
        <v>0</v>
      </c>
      <c r="S85" s="842">
        <v>0</v>
      </c>
      <c r="T85" s="842">
        <v>35.819000000000003</v>
      </c>
      <c r="U85" s="842">
        <v>0</v>
      </c>
      <c r="V85" s="842">
        <v>0</v>
      </c>
      <c r="W85" s="842">
        <v>0</v>
      </c>
      <c r="X85" s="985">
        <v>0.88540353479174405</v>
      </c>
    </row>
    <row r="86" spans="1:24" s="330" customFormat="1" ht="63">
      <c r="A86" s="838" t="s">
        <v>2469</v>
      </c>
      <c r="B86" s="840" t="s">
        <v>2550</v>
      </c>
      <c r="C86" s="842">
        <v>234.30600000000001</v>
      </c>
      <c r="D86" s="842">
        <v>0</v>
      </c>
      <c r="E86" s="842">
        <v>0</v>
      </c>
      <c r="F86" s="842">
        <v>234.30600000000001</v>
      </c>
      <c r="G86" s="842">
        <v>234.30600000000001</v>
      </c>
      <c r="H86" s="842">
        <v>0</v>
      </c>
      <c r="I86" s="842">
        <v>0</v>
      </c>
      <c r="J86" s="842">
        <v>0</v>
      </c>
      <c r="K86" s="842">
        <v>0</v>
      </c>
      <c r="L86" s="842">
        <v>0</v>
      </c>
      <c r="M86" s="842">
        <v>0</v>
      </c>
      <c r="N86" s="842">
        <v>0</v>
      </c>
      <c r="O86" s="842">
        <v>0</v>
      </c>
      <c r="P86" s="842">
        <v>0</v>
      </c>
      <c r="Q86" s="842">
        <v>234.30600000000001</v>
      </c>
      <c r="R86" s="842">
        <v>0</v>
      </c>
      <c r="S86" s="842">
        <v>0</v>
      </c>
      <c r="T86" s="842">
        <v>234.30600000000001</v>
      </c>
      <c r="U86" s="842">
        <v>0</v>
      </c>
      <c r="V86" s="842">
        <v>0</v>
      </c>
      <c r="W86" s="842">
        <v>0</v>
      </c>
      <c r="X86" s="985">
        <v>1</v>
      </c>
    </row>
    <row r="87" spans="1:24" s="330" customFormat="1" ht="31.5">
      <c r="A87" s="838" t="s">
        <v>2469</v>
      </c>
      <c r="B87" s="840" t="s">
        <v>2551</v>
      </c>
      <c r="C87" s="842">
        <v>2.0979999999999999</v>
      </c>
      <c r="D87" s="842">
        <v>0</v>
      </c>
      <c r="E87" s="842">
        <v>2.0979999999999999</v>
      </c>
      <c r="F87" s="842">
        <v>0</v>
      </c>
      <c r="G87" s="842">
        <v>2.0979999999999999</v>
      </c>
      <c r="H87" s="842">
        <v>0</v>
      </c>
      <c r="I87" s="842">
        <v>0</v>
      </c>
      <c r="J87" s="842">
        <v>0</v>
      </c>
      <c r="K87" s="842">
        <v>0</v>
      </c>
      <c r="L87" s="842">
        <v>0</v>
      </c>
      <c r="M87" s="842">
        <v>0</v>
      </c>
      <c r="N87" s="842">
        <v>0</v>
      </c>
      <c r="O87" s="842">
        <v>0</v>
      </c>
      <c r="P87" s="842">
        <v>0</v>
      </c>
      <c r="Q87" s="842">
        <v>2.0979999999999999</v>
      </c>
      <c r="R87" s="842">
        <v>0</v>
      </c>
      <c r="S87" s="842">
        <v>0</v>
      </c>
      <c r="T87" s="842">
        <v>2.0979999999999999</v>
      </c>
      <c r="U87" s="842">
        <v>0</v>
      </c>
      <c r="V87" s="842">
        <v>0</v>
      </c>
      <c r="W87" s="842">
        <v>0</v>
      </c>
      <c r="X87" s="985">
        <v>1</v>
      </c>
    </row>
    <row r="88" spans="1:24" s="330" customFormat="1" ht="47.25">
      <c r="A88" s="838" t="s">
        <v>2469</v>
      </c>
      <c r="B88" s="840" t="s">
        <v>2309</v>
      </c>
      <c r="C88" s="842">
        <v>23107.274000000001</v>
      </c>
      <c r="D88" s="842">
        <v>12417.273999999999</v>
      </c>
      <c r="E88" s="842">
        <v>0</v>
      </c>
      <c r="F88" s="842">
        <v>10690</v>
      </c>
      <c r="G88" s="842">
        <v>23107.274000000001</v>
      </c>
      <c r="H88" s="842">
        <v>0</v>
      </c>
      <c r="I88" s="842">
        <v>0</v>
      </c>
      <c r="J88" s="842">
        <v>0</v>
      </c>
      <c r="K88" s="842">
        <v>0</v>
      </c>
      <c r="L88" s="842">
        <v>0</v>
      </c>
      <c r="M88" s="842">
        <v>0</v>
      </c>
      <c r="N88" s="842">
        <v>0</v>
      </c>
      <c r="O88" s="842">
        <v>0</v>
      </c>
      <c r="P88" s="842">
        <v>0</v>
      </c>
      <c r="Q88" s="842">
        <v>23107.274000000001</v>
      </c>
      <c r="R88" s="842">
        <v>0</v>
      </c>
      <c r="S88" s="842">
        <v>0</v>
      </c>
      <c r="T88" s="842">
        <v>23107.274000000001</v>
      </c>
      <c r="U88" s="842">
        <v>0</v>
      </c>
      <c r="V88" s="842">
        <v>0</v>
      </c>
      <c r="W88" s="842">
        <v>0</v>
      </c>
      <c r="X88" s="985">
        <v>1</v>
      </c>
    </row>
    <row r="89" spans="1:24" s="330" customFormat="1" ht="78.75">
      <c r="A89" s="838" t="s">
        <v>2469</v>
      </c>
      <c r="B89" s="840" t="s">
        <v>2272</v>
      </c>
      <c r="C89" s="842">
        <v>6629.9002099999998</v>
      </c>
      <c r="D89" s="842">
        <v>0</v>
      </c>
      <c r="E89" s="842">
        <v>6629.9002099999998</v>
      </c>
      <c r="F89" s="842">
        <v>0</v>
      </c>
      <c r="G89" s="842">
        <v>6629.9002099999998</v>
      </c>
      <c r="H89" s="842">
        <v>0</v>
      </c>
      <c r="I89" s="842">
        <v>0</v>
      </c>
      <c r="J89" s="842">
        <v>0</v>
      </c>
      <c r="K89" s="842">
        <v>0</v>
      </c>
      <c r="L89" s="842">
        <v>0</v>
      </c>
      <c r="M89" s="842">
        <v>0</v>
      </c>
      <c r="N89" s="842">
        <v>0</v>
      </c>
      <c r="O89" s="842">
        <v>0</v>
      </c>
      <c r="P89" s="842">
        <v>0</v>
      </c>
      <c r="Q89" s="842">
        <v>6629.9002099999998</v>
      </c>
      <c r="R89" s="842">
        <v>0</v>
      </c>
      <c r="S89" s="842">
        <v>6629.9002099999998</v>
      </c>
      <c r="T89" s="842">
        <v>0</v>
      </c>
      <c r="U89" s="842">
        <v>0</v>
      </c>
      <c r="V89" s="842">
        <v>0</v>
      </c>
      <c r="W89" s="842">
        <v>0</v>
      </c>
      <c r="X89" s="985">
        <v>1</v>
      </c>
    </row>
    <row r="90" spans="1:24" s="330" customFormat="1" ht="31.5">
      <c r="A90" s="838" t="s">
        <v>2469</v>
      </c>
      <c r="B90" s="840" t="s">
        <v>2280</v>
      </c>
      <c r="C90" s="842">
        <v>6414</v>
      </c>
      <c r="D90" s="842">
        <v>0</v>
      </c>
      <c r="E90" s="842">
        <v>3207</v>
      </c>
      <c r="F90" s="842">
        <v>3207</v>
      </c>
      <c r="G90" s="842">
        <v>3207</v>
      </c>
      <c r="H90" s="842">
        <v>0</v>
      </c>
      <c r="I90" s="842">
        <v>0</v>
      </c>
      <c r="J90" s="842">
        <v>0</v>
      </c>
      <c r="K90" s="842">
        <v>0</v>
      </c>
      <c r="L90" s="842">
        <v>0</v>
      </c>
      <c r="M90" s="842">
        <v>0</v>
      </c>
      <c r="N90" s="842">
        <v>0</v>
      </c>
      <c r="O90" s="842">
        <v>0</v>
      </c>
      <c r="P90" s="842">
        <v>0</v>
      </c>
      <c r="Q90" s="842">
        <v>3207</v>
      </c>
      <c r="R90" s="842">
        <v>0</v>
      </c>
      <c r="S90" s="842">
        <v>0</v>
      </c>
      <c r="T90" s="842">
        <v>3207</v>
      </c>
      <c r="U90" s="842">
        <v>0</v>
      </c>
      <c r="V90" s="842">
        <v>0</v>
      </c>
      <c r="W90" s="842">
        <v>0</v>
      </c>
      <c r="X90" s="985">
        <v>0.5</v>
      </c>
    </row>
    <row r="91" spans="1:24" s="330" customFormat="1" ht="63">
      <c r="A91" s="838" t="s">
        <v>2469</v>
      </c>
      <c r="B91" s="840" t="s">
        <v>2552</v>
      </c>
      <c r="C91" s="842">
        <v>36.576000000000001</v>
      </c>
      <c r="D91" s="842">
        <v>0</v>
      </c>
      <c r="E91" s="842">
        <v>36.576000000000001</v>
      </c>
      <c r="F91" s="842">
        <v>0</v>
      </c>
      <c r="G91" s="842">
        <v>36.576000000000001</v>
      </c>
      <c r="H91" s="842">
        <v>0</v>
      </c>
      <c r="I91" s="842">
        <v>0</v>
      </c>
      <c r="J91" s="842">
        <v>0</v>
      </c>
      <c r="K91" s="842">
        <v>0</v>
      </c>
      <c r="L91" s="842">
        <v>0</v>
      </c>
      <c r="M91" s="842">
        <v>0</v>
      </c>
      <c r="N91" s="842">
        <v>0</v>
      </c>
      <c r="O91" s="842">
        <v>0</v>
      </c>
      <c r="P91" s="842">
        <v>0</v>
      </c>
      <c r="Q91" s="842">
        <v>36.576000000000001</v>
      </c>
      <c r="R91" s="842">
        <v>0</v>
      </c>
      <c r="S91" s="842">
        <v>0</v>
      </c>
      <c r="T91" s="842">
        <v>36.576000000000001</v>
      </c>
      <c r="U91" s="842">
        <v>0</v>
      </c>
      <c r="V91" s="842">
        <v>0</v>
      </c>
      <c r="W91" s="842">
        <v>0</v>
      </c>
      <c r="X91" s="985">
        <v>1</v>
      </c>
    </row>
    <row r="92" spans="1:24" s="330" customFormat="1" ht="63">
      <c r="A92" s="838" t="s">
        <v>2469</v>
      </c>
      <c r="B92" s="840" t="s">
        <v>2553</v>
      </c>
      <c r="C92" s="842">
        <v>3.1840000000000002</v>
      </c>
      <c r="D92" s="842">
        <v>0</v>
      </c>
      <c r="E92" s="842">
        <v>0</v>
      </c>
      <c r="F92" s="842">
        <v>3.1840000000000002</v>
      </c>
      <c r="G92" s="842">
        <v>3.1840000000000002</v>
      </c>
      <c r="H92" s="842">
        <v>0</v>
      </c>
      <c r="I92" s="842">
        <v>0</v>
      </c>
      <c r="J92" s="842">
        <v>0</v>
      </c>
      <c r="K92" s="842">
        <v>0</v>
      </c>
      <c r="L92" s="842">
        <v>0</v>
      </c>
      <c r="M92" s="842">
        <v>0</v>
      </c>
      <c r="N92" s="842">
        <v>0</v>
      </c>
      <c r="O92" s="842">
        <v>0</v>
      </c>
      <c r="P92" s="842">
        <v>0</v>
      </c>
      <c r="Q92" s="842">
        <v>3.1840000000000002</v>
      </c>
      <c r="R92" s="842">
        <v>0</v>
      </c>
      <c r="S92" s="842">
        <v>0</v>
      </c>
      <c r="T92" s="842">
        <v>3.1840000000000002</v>
      </c>
      <c r="U92" s="842">
        <v>0</v>
      </c>
      <c r="V92" s="842">
        <v>0</v>
      </c>
      <c r="W92" s="842">
        <v>0</v>
      </c>
      <c r="X92" s="985">
        <v>1</v>
      </c>
    </row>
    <row r="93" spans="1:24" s="330" customFormat="1" ht="31.5">
      <c r="A93" s="838" t="s">
        <v>2469</v>
      </c>
      <c r="B93" s="840" t="s">
        <v>2554</v>
      </c>
      <c r="C93" s="842">
        <v>196.691</v>
      </c>
      <c r="D93" s="842">
        <v>0</v>
      </c>
      <c r="E93" s="842">
        <v>196.691</v>
      </c>
      <c r="F93" s="842">
        <v>0</v>
      </c>
      <c r="G93" s="842">
        <v>196.691</v>
      </c>
      <c r="H93" s="842">
        <v>196.691</v>
      </c>
      <c r="I93" s="842">
        <v>0</v>
      </c>
      <c r="J93" s="842">
        <v>0</v>
      </c>
      <c r="K93" s="842">
        <v>0</v>
      </c>
      <c r="L93" s="842">
        <v>0</v>
      </c>
      <c r="M93" s="842">
        <v>0</v>
      </c>
      <c r="N93" s="842">
        <v>0</v>
      </c>
      <c r="O93" s="842">
        <v>0</v>
      </c>
      <c r="P93" s="842">
        <v>0</v>
      </c>
      <c r="Q93" s="842">
        <v>0</v>
      </c>
      <c r="R93" s="842">
        <v>0</v>
      </c>
      <c r="S93" s="842">
        <v>0</v>
      </c>
      <c r="T93" s="842">
        <v>0</v>
      </c>
      <c r="U93" s="842">
        <v>0</v>
      </c>
      <c r="V93" s="842">
        <v>0</v>
      </c>
      <c r="W93" s="842">
        <v>0</v>
      </c>
      <c r="X93" s="985">
        <v>1</v>
      </c>
    </row>
    <row r="94" spans="1:24" s="330" customFormat="1" ht="47.25">
      <c r="A94" s="838" t="s">
        <v>2469</v>
      </c>
      <c r="B94" s="840" t="s">
        <v>2555</v>
      </c>
      <c r="C94" s="842">
        <v>3600</v>
      </c>
      <c r="D94" s="842">
        <v>0</v>
      </c>
      <c r="E94" s="842">
        <v>2000</v>
      </c>
      <c r="F94" s="842">
        <v>1600</v>
      </c>
      <c r="G94" s="842">
        <v>173.786</v>
      </c>
      <c r="H94" s="842">
        <v>0</v>
      </c>
      <c r="I94" s="842">
        <v>0</v>
      </c>
      <c r="J94" s="842">
        <v>0</v>
      </c>
      <c r="K94" s="842">
        <v>0</v>
      </c>
      <c r="L94" s="842">
        <v>0</v>
      </c>
      <c r="M94" s="842">
        <v>0</v>
      </c>
      <c r="N94" s="842">
        <v>0</v>
      </c>
      <c r="O94" s="842">
        <v>0</v>
      </c>
      <c r="P94" s="842">
        <v>0</v>
      </c>
      <c r="Q94" s="842">
        <v>173.786</v>
      </c>
      <c r="R94" s="842">
        <v>0</v>
      </c>
      <c r="S94" s="842">
        <v>0</v>
      </c>
      <c r="T94" s="842">
        <v>173.786</v>
      </c>
      <c r="U94" s="842">
        <v>0</v>
      </c>
      <c r="V94" s="842">
        <v>0</v>
      </c>
      <c r="W94" s="842">
        <v>0</v>
      </c>
      <c r="X94" s="985">
        <v>4.8273888888888887E-2</v>
      </c>
    </row>
    <row r="95" spans="1:24" s="330" customFormat="1" ht="63">
      <c r="A95" s="838" t="s">
        <v>2469</v>
      </c>
      <c r="B95" s="840" t="s">
        <v>2310</v>
      </c>
      <c r="C95" s="842">
        <v>999.81</v>
      </c>
      <c r="D95" s="842">
        <v>0</v>
      </c>
      <c r="E95" s="842">
        <v>0</v>
      </c>
      <c r="F95" s="842">
        <v>999.81</v>
      </c>
      <c r="G95" s="842">
        <v>999.81</v>
      </c>
      <c r="H95" s="842">
        <v>0</v>
      </c>
      <c r="I95" s="842">
        <v>0</v>
      </c>
      <c r="J95" s="842">
        <v>0</v>
      </c>
      <c r="K95" s="842">
        <v>0</v>
      </c>
      <c r="L95" s="842">
        <v>0</v>
      </c>
      <c r="M95" s="842">
        <v>0</v>
      </c>
      <c r="N95" s="842">
        <v>0</v>
      </c>
      <c r="O95" s="842">
        <v>0</v>
      </c>
      <c r="P95" s="842">
        <v>0</v>
      </c>
      <c r="Q95" s="842">
        <v>999.81</v>
      </c>
      <c r="R95" s="842">
        <v>0</v>
      </c>
      <c r="S95" s="842">
        <v>0</v>
      </c>
      <c r="T95" s="842">
        <v>999.81</v>
      </c>
      <c r="U95" s="842">
        <v>0</v>
      </c>
      <c r="V95" s="842">
        <v>0</v>
      </c>
      <c r="W95" s="842">
        <v>0</v>
      </c>
      <c r="X95" s="985">
        <v>1</v>
      </c>
    </row>
    <row r="96" spans="1:24" s="330" customFormat="1" ht="47.25">
      <c r="A96" s="838" t="s">
        <v>2469</v>
      </c>
      <c r="B96" s="840" t="s">
        <v>2556</v>
      </c>
      <c r="C96" s="842">
        <v>176.5</v>
      </c>
      <c r="D96" s="842">
        <v>0</v>
      </c>
      <c r="E96" s="842">
        <v>0</v>
      </c>
      <c r="F96" s="842">
        <v>176.5</v>
      </c>
      <c r="G96" s="842">
        <v>176.452</v>
      </c>
      <c r="H96" s="842">
        <v>0</v>
      </c>
      <c r="I96" s="842">
        <v>0</v>
      </c>
      <c r="J96" s="842">
        <v>0</v>
      </c>
      <c r="K96" s="842">
        <v>0</v>
      </c>
      <c r="L96" s="842">
        <v>0</v>
      </c>
      <c r="M96" s="842">
        <v>0</v>
      </c>
      <c r="N96" s="842">
        <v>0</v>
      </c>
      <c r="O96" s="842">
        <v>0</v>
      </c>
      <c r="P96" s="842">
        <v>0</v>
      </c>
      <c r="Q96" s="842">
        <v>176.452</v>
      </c>
      <c r="R96" s="842">
        <v>0</v>
      </c>
      <c r="S96" s="842">
        <v>0</v>
      </c>
      <c r="T96" s="842">
        <v>176.452</v>
      </c>
      <c r="U96" s="842">
        <v>0</v>
      </c>
      <c r="V96" s="842">
        <v>0</v>
      </c>
      <c r="W96" s="842">
        <v>0</v>
      </c>
      <c r="X96" s="985">
        <v>0.99972804532577908</v>
      </c>
    </row>
    <row r="97" spans="1:24" s="330" customFormat="1" ht="31.5">
      <c r="A97" s="838" t="s">
        <v>2469</v>
      </c>
      <c r="B97" s="839" t="s">
        <v>2557</v>
      </c>
      <c r="C97" s="842">
        <v>105.333</v>
      </c>
      <c r="D97" s="842">
        <v>0</v>
      </c>
      <c r="E97" s="842">
        <v>105.333</v>
      </c>
      <c r="F97" s="842">
        <v>0</v>
      </c>
      <c r="G97" s="842">
        <v>105.333</v>
      </c>
      <c r="H97" s="842">
        <v>0</v>
      </c>
      <c r="I97" s="842">
        <v>0</v>
      </c>
      <c r="J97" s="842">
        <v>0</v>
      </c>
      <c r="K97" s="842">
        <v>0</v>
      </c>
      <c r="L97" s="842">
        <v>0</v>
      </c>
      <c r="M97" s="842">
        <v>0</v>
      </c>
      <c r="N97" s="842">
        <v>0</v>
      </c>
      <c r="O97" s="842">
        <v>0</v>
      </c>
      <c r="P97" s="842">
        <v>0</v>
      </c>
      <c r="Q97" s="842">
        <v>105.333</v>
      </c>
      <c r="R97" s="842">
        <v>0</v>
      </c>
      <c r="S97" s="842">
        <v>0</v>
      </c>
      <c r="T97" s="842">
        <v>105.333</v>
      </c>
      <c r="U97" s="842">
        <v>0</v>
      </c>
      <c r="V97" s="842">
        <v>0</v>
      </c>
      <c r="W97" s="842">
        <v>0</v>
      </c>
      <c r="X97" s="985">
        <v>1</v>
      </c>
    </row>
    <row r="98" spans="1:24" s="330" customFormat="1" ht="47.25">
      <c r="A98" s="838" t="s">
        <v>2469</v>
      </c>
      <c r="B98" s="840" t="s">
        <v>2311</v>
      </c>
      <c r="C98" s="842">
        <v>2221.317</v>
      </c>
      <c r="D98" s="842">
        <v>907.12699999999995</v>
      </c>
      <c r="E98" s="842">
        <v>400</v>
      </c>
      <c r="F98" s="842">
        <v>914.19</v>
      </c>
      <c r="G98" s="842">
        <v>1161.1790000000001</v>
      </c>
      <c r="H98" s="842">
        <v>0</v>
      </c>
      <c r="I98" s="842">
        <v>0</v>
      </c>
      <c r="J98" s="842">
        <v>0</v>
      </c>
      <c r="K98" s="842">
        <v>0</v>
      </c>
      <c r="L98" s="842">
        <v>0</v>
      </c>
      <c r="M98" s="842">
        <v>0</v>
      </c>
      <c r="N98" s="842">
        <v>0</v>
      </c>
      <c r="O98" s="842">
        <v>0</v>
      </c>
      <c r="P98" s="842">
        <v>0</v>
      </c>
      <c r="Q98" s="842">
        <v>1161.1790000000001</v>
      </c>
      <c r="R98" s="842">
        <v>0</v>
      </c>
      <c r="S98" s="842">
        <v>0</v>
      </c>
      <c r="T98" s="842">
        <v>1161.1790000000001</v>
      </c>
      <c r="U98" s="842">
        <v>0</v>
      </c>
      <c r="V98" s="842">
        <v>0</v>
      </c>
      <c r="W98" s="842">
        <v>0</v>
      </c>
      <c r="X98" s="985">
        <v>0.52274348956047245</v>
      </c>
    </row>
    <row r="99" spans="1:24" s="330" customFormat="1" ht="31.5">
      <c r="A99" s="838" t="s">
        <v>2469</v>
      </c>
      <c r="B99" s="840" t="s">
        <v>2312</v>
      </c>
      <c r="C99" s="842">
        <v>6430.5079999999998</v>
      </c>
      <c r="D99" s="842">
        <v>4430.5079999999998</v>
      </c>
      <c r="E99" s="842">
        <v>2000</v>
      </c>
      <c r="F99" s="842">
        <v>0</v>
      </c>
      <c r="G99" s="842">
        <v>6430.5079999999998</v>
      </c>
      <c r="H99" s="842">
        <v>0</v>
      </c>
      <c r="I99" s="842">
        <v>0</v>
      </c>
      <c r="J99" s="842">
        <v>0</v>
      </c>
      <c r="K99" s="842">
        <v>0</v>
      </c>
      <c r="L99" s="842">
        <v>0</v>
      </c>
      <c r="M99" s="842">
        <v>0</v>
      </c>
      <c r="N99" s="842">
        <v>0</v>
      </c>
      <c r="O99" s="842">
        <v>0</v>
      </c>
      <c r="P99" s="842">
        <v>0</v>
      </c>
      <c r="Q99" s="842">
        <v>6430.5079999999998</v>
      </c>
      <c r="R99" s="842">
        <v>0</v>
      </c>
      <c r="S99" s="842">
        <v>0</v>
      </c>
      <c r="T99" s="842">
        <v>6430.5079999999998</v>
      </c>
      <c r="U99" s="842">
        <v>0</v>
      </c>
      <c r="V99" s="842">
        <v>0</v>
      </c>
      <c r="W99" s="842">
        <v>0</v>
      </c>
      <c r="X99" s="985">
        <v>1</v>
      </c>
    </row>
    <row r="100" spans="1:24" s="330" customFormat="1" ht="31.5">
      <c r="A100" s="838" t="s">
        <v>2469</v>
      </c>
      <c r="B100" s="839" t="s">
        <v>2313</v>
      </c>
      <c r="C100" s="842">
        <v>1375.346</v>
      </c>
      <c r="D100" s="842">
        <v>1375.346</v>
      </c>
      <c r="E100" s="842">
        <v>0</v>
      </c>
      <c r="F100" s="842">
        <v>0</v>
      </c>
      <c r="G100" s="842">
        <v>1375.346</v>
      </c>
      <c r="H100" s="842">
        <v>0</v>
      </c>
      <c r="I100" s="842">
        <v>0</v>
      </c>
      <c r="J100" s="842">
        <v>0</v>
      </c>
      <c r="K100" s="842">
        <v>0</v>
      </c>
      <c r="L100" s="842">
        <v>0</v>
      </c>
      <c r="M100" s="842">
        <v>0</v>
      </c>
      <c r="N100" s="842">
        <v>0</v>
      </c>
      <c r="O100" s="842">
        <v>0</v>
      </c>
      <c r="P100" s="842">
        <v>0</v>
      </c>
      <c r="Q100" s="842">
        <v>1375.346</v>
      </c>
      <c r="R100" s="842">
        <v>0</v>
      </c>
      <c r="S100" s="842">
        <v>1375.346</v>
      </c>
      <c r="T100" s="842">
        <v>0</v>
      </c>
      <c r="U100" s="842">
        <v>0</v>
      </c>
      <c r="V100" s="842">
        <v>0</v>
      </c>
      <c r="W100" s="842">
        <v>0</v>
      </c>
      <c r="X100" s="985">
        <v>1</v>
      </c>
    </row>
    <row r="101" spans="1:24" s="330" customFormat="1" ht="31.5">
      <c r="A101" s="838" t="s">
        <v>2469</v>
      </c>
      <c r="B101" s="840" t="s">
        <v>2314</v>
      </c>
      <c r="C101" s="842">
        <v>1318.6610000000001</v>
      </c>
      <c r="D101" s="842">
        <v>1318.6610000000001</v>
      </c>
      <c r="E101" s="842">
        <v>0</v>
      </c>
      <c r="F101" s="842">
        <v>0</v>
      </c>
      <c r="G101" s="842">
        <v>126.67400000000001</v>
      </c>
      <c r="H101" s="842">
        <v>0</v>
      </c>
      <c r="I101" s="842">
        <v>0</v>
      </c>
      <c r="J101" s="842">
        <v>0</v>
      </c>
      <c r="K101" s="842">
        <v>0</v>
      </c>
      <c r="L101" s="842">
        <v>0</v>
      </c>
      <c r="M101" s="842">
        <v>0</v>
      </c>
      <c r="N101" s="842">
        <v>0</v>
      </c>
      <c r="O101" s="842">
        <v>0</v>
      </c>
      <c r="P101" s="842">
        <v>0</v>
      </c>
      <c r="Q101" s="842">
        <v>126.67400000000001</v>
      </c>
      <c r="R101" s="842">
        <v>0</v>
      </c>
      <c r="S101" s="842">
        <v>0</v>
      </c>
      <c r="T101" s="842">
        <v>126.67400000000001</v>
      </c>
      <c r="U101" s="842">
        <v>0</v>
      </c>
      <c r="V101" s="842">
        <v>0</v>
      </c>
      <c r="W101" s="842">
        <v>0</v>
      </c>
      <c r="X101" s="985">
        <v>9.6062596831179514E-2</v>
      </c>
    </row>
    <row r="102" spans="1:24" s="330" customFormat="1" ht="63">
      <c r="A102" s="838" t="s">
        <v>2469</v>
      </c>
      <c r="B102" s="839" t="s">
        <v>2281</v>
      </c>
      <c r="C102" s="842">
        <v>9839.6167380000006</v>
      </c>
      <c r="D102" s="842">
        <v>994.61500000000001</v>
      </c>
      <c r="E102" s="842">
        <v>971</v>
      </c>
      <c r="F102" s="842">
        <v>7874.0017379999999</v>
      </c>
      <c r="G102" s="842">
        <v>600.851</v>
      </c>
      <c r="H102" s="842">
        <v>0</v>
      </c>
      <c r="I102" s="842">
        <v>0</v>
      </c>
      <c r="J102" s="842">
        <v>0</v>
      </c>
      <c r="K102" s="842">
        <v>0</v>
      </c>
      <c r="L102" s="842">
        <v>0</v>
      </c>
      <c r="M102" s="842">
        <v>0</v>
      </c>
      <c r="N102" s="842">
        <v>0</v>
      </c>
      <c r="O102" s="842">
        <v>0</v>
      </c>
      <c r="P102" s="842">
        <v>0</v>
      </c>
      <c r="Q102" s="842">
        <v>600.851</v>
      </c>
      <c r="R102" s="842">
        <v>0</v>
      </c>
      <c r="S102" s="842">
        <v>0</v>
      </c>
      <c r="T102" s="842">
        <v>600.851</v>
      </c>
      <c r="U102" s="842">
        <v>0</v>
      </c>
      <c r="V102" s="842">
        <v>0</v>
      </c>
      <c r="W102" s="842">
        <v>0</v>
      </c>
      <c r="X102" s="985">
        <v>6.1064471919881798E-2</v>
      </c>
    </row>
    <row r="103" spans="1:24" s="330" customFormat="1" ht="78.75">
      <c r="A103" s="838" t="s">
        <v>2469</v>
      </c>
      <c r="B103" s="840" t="s">
        <v>2315</v>
      </c>
      <c r="C103" s="842">
        <v>5033.3590000000004</v>
      </c>
      <c r="D103" s="842">
        <v>1666.3589999999999</v>
      </c>
      <c r="E103" s="842">
        <v>1500</v>
      </c>
      <c r="F103" s="842">
        <v>1867</v>
      </c>
      <c r="G103" s="842">
        <v>3987.7710000000002</v>
      </c>
      <c r="H103" s="842">
        <v>0</v>
      </c>
      <c r="I103" s="842">
        <v>0</v>
      </c>
      <c r="J103" s="842">
        <v>0</v>
      </c>
      <c r="K103" s="842">
        <v>0</v>
      </c>
      <c r="L103" s="842">
        <v>0</v>
      </c>
      <c r="M103" s="842">
        <v>0</v>
      </c>
      <c r="N103" s="842">
        <v>0</v>
      </c>
      <c r="O103" s="842">
        <v>0</v>
      </c>
      <c r="P103" s="842">
        <v>0</v>
      </c>
      <c r="Q103" s="842">
        <v>3987.7710000000002</v>
      </c>
      <c r="R103" s="842">
        <v>0</v>
      </c>
      <c r="S103" s="842">
        <v>0</v>
      </c>
      <c r="T103" s="842">
        <v>3987.7710000000002</v>
      </c>
      <c r="U103" s="842">
        <v>0</v>
      </c>
      <c r="V103" s="842">
        <v>0</v>
      </c>
      <c r="W103" s="842">
        <v>0</v>
      </c>
      <c r="X103" s="985">
        <v>0.79226834406208657</v>
      </c>
    </row>
    <row r="104" spans="1:24" s="330" customFormat="1" ht="31.5">
      <c r="A104" s="838" t="s">
        <v>2469</v>
      </c>
      <c r="B104" s="839" t="s">
        <v>2558</v>
      </c>
      <c r="C104" s="842">
        <v>485.22699999999998</v>
      </c>
      <c r="D104" s="842">
        <v>485.22699999999998</v>
      </c>
      <c r="E104" s="842">
        <v>0</v>
      </c>
      <c r="F104" s="842">
        <v>0</v>
      </c>
      <c r="G104" s="842">
        <v>485.22699999999998</v>
      </c>
      <c r="H104" s="842">
        <v>0</v>
      </c>
      <c r="I104" s="842">
        <v>0</v>
      </c>
      <c r="J104" s="842">
        <v>0</v>
      </c>
      <c r="K104" s="842">
        <v>0</v>
      </c>
      <c r="L104" s="842">
        <v>0</v>
      </c>
      <c r="M104" s="842">
        <v>0</v>
      </c>
      <c r="N104" s="842">
        <v>0</v>
      </c>
      <c r="O104" s="842">
        <v>0</v>
      </c>
      <c r="P104" s="842">
        <v>0</v>
      </c>
      <c r="Q104" s="842">
        <v>485.22699999999998</v>
      </c>
      <c r="R104" s="842">
        <v>0</v>
      </c>
      <c r="S104" s="842">
        <v>0</v>
      </c>
      <c r="T104" s="842">
        <v>485.22699999999998</v>
      </c>
      <c r="U104" s="842">
        <v>0</v>
      </c>
      <c r="V104" s="842">
        <v>0</v>
      </c>
      <c r="W104" s="842">
        <v>0</v>
      </c>
      <c r="X104" s="985">
        <v>1</v>
      </c>
    </row>
    <row r="105" spans="1:24" s="330" customFormat="1" ht="31.5">
      <c r="A105" s="838" t="s">
        <v>2469</v>
      </c>
      <c r="B105" s="840" t="s">
        <v>2282</v>
      </c>
      <c r="C105" s="842">
        <v>8855.5319999999992</v>
      </c>
      <c r="D105" s="842">
        <v>4960.5320000000002</v>
      </c>
      <c r="E105" s="842">
        <v>3895</v>
      </c>
      <c r="F105" s="842">
        <v>0</v>
      </c>
      <c r="G105" s="842">
        <v>94.834000000000003</v>
      </c>
      <c r="H105" s="842">
        <v>0</v>
      </c>
      <c r="I105" s="842">
        <v>0</v>
      </c>
      <c r="J105" s="842">
        <v>0</v>
      </c>
      <c r="K105" s="842">
        <v>0</v>
      </c>
      <c r="L105" s="842">
        <v>0</v>
      </c>
      <c r="M105" s="842">
        <v>0</v>
      </c>
      <c r="N105" s="842">
        <v>0</v>
      </c>
      <c r="O105" s="842">
        <v>0</v>
      </c>
      <c r="P105" s="842">
        <v>0</v>
      </c>
      <c r="Q105" s="842">
        <v>94.834000000000003</v>
      </c>
      <c r="R105" s="842">
        <v>0</v>
      </c>
      <c r="S105" s="842">
        <v>0</v>
      </c>
      <c r="T105" s="842">
        <v>94.834000000000003</v>
      </c>
      <c r="U105" s="842">
        <v>0</v>
      </c>
      <c r="V105" s="842">
        <v>0</v>
      </c>
      <c r="W105" s="842">
        <v>0</v>
      </c>
      <c r="X105" s="985">
        <v>1.0709012174536776E-2</v>
      </c>
    </row>
    <row r="106" spans="1:24" s="330" customFormat="1" ht="31.5">
      <c r="A106" s="838" t="s">
        <v>2469</v>
      </c>
      <c r="B106" s="839" t="s">
        <v>2275</v>
      </c>
      <c r="C106" s="842">
        <v>919.01199999999994</v>
      </c>
      <c r="D106" s="842">
        <v>919.01199999999994</v>
      </c>
      <c r="E106" s="842">
        <v>0</v>
      </c>
      <c r="F106" s="842">
        <v>0</v>
      </c>
      <c r="G106" s="842">
        <v>919.01199999999994</v>
      </c>
      <c r="H106" s="842">
        <v>0</v>
      </c>
      <c r="I106" s="842">
        <v>0</v>
      </c>
      <c r="J106" s="842">
        <v>0</v>
      </c>
      <c r="K106" s="842">
        <v>0</v>
      </c>
      <c r="L106" s="842">
        <v>0</v>
      </c>
      <c r="M106" s="842">
        <v>0</v>
      </c>
      <c r="N106" s="842">
        <v>0</v>
      </c>
      <c r="O106" s="842">
        <v>0</v>
      </c>
      <c r="P106" s="842">
        <v>0</v>
      </c>
      <c r="Q106" s="842">
        <v>919.01199999999994</v>
      </c>
      <c r="R106" s="842">
        <v>0</v>
      </c>
      <c r="S106" s="842">
        <v>919.01199999999994</v>
      </c>
      <c r="T106" s="842">
        <v>0</v>
      </c>
      <c r="U106" s="842">
        <v>0</v>
      </c>
      <c r="V106" s="842">
        <v>0</v>
      </c>
      <c r="W106" s="842">
        <v>0</v>
      </c>
      <c r="X106" s="985">
        <v>1</v>
      </c>
    </row>
    <row r="107" spans="1:24" s="330" customFormat="1" ht="31.5">
      <c r="A107" s="838" t="s">
        <v>2469</v>
      </c>
      <c r="B107" s="840" t="s">
        <v>2559</v>
      </c>
      <c r="C107" s="842">
        <v>100</v>
      </c>
      <c r="D107" s="842">
        <v>0</v>
      </c>
      <c r="E107" s="842">
        <v>100</v>
      </c>
      <c r="F107" s="842">
        <v>0</v>
      </c>
      <c r="G107" s="842">
        <v>100</v>
      </c>
      <c r="H107" s="842">
        <v>0</v>
      </c>
      <c r="I107" s="842">
        <v>0</v>
      </c>
      <c r="J107" s="842">
        <v>0</v>
      </c>
      <c r="K107" s="842">
        <v>0</v>
      </c>
      <c r="L107" s="842">
        <v>0</v>
      </c>
      <c r="M107" s="842">
        <v>100</v>
      </c>
      <c r="N107" s="842">
        <v>0</v>
      </c>
      <c r="O107" s="842">
        <v>0</v>
      </c>
      <c r="P107" s="842">
        <v>0</v>
      </c>
      <c r="Q107" s="842">
        <v>0</v>
      </c>
      <c r="R107" s="842">
        <v>0</v>
      </c>
      <c r="S107" s="842">
        <v>0</v>
      </c>
      <c r="T107" s="842">
        <v>0</v>
      </c>
      <c r="U107" s="842">
        <v>0</v>
      </c>
      <c r="V107" s="842">
        <v>0</v>
      </c>
      <c r="W107" s="842">
        <v>0</v>
      </c>
      <c r="X107" s="985">
        <v>1</v>
      </c>
    </row>
    <row r="108" spans="1:24" s="330" customFormat="1" ht="31.5">
      <c r="A108" s="838" t="s">
        <v>2469</v>
      </c>
      <c r="B108" s="839" t="s">
        <v>2560</v>
      </c>
      <c r="C108" s="842">
        <v>6.234</v>
      </c>
      <c r="D108" s="842">
        <v>6.234</v>
      </c>
      <c r="E108" s="842">
        <v>0</v>
      </c>
      <c r="F108" s="842">
        <v>0</v>
      </c>
      <c r="G108" s="842">
        <v>6.234</v>
      </c>
      <c r="H108" s="842">
        <v>6.234</v>
      </c>
      <c r="I108" s="842">
        <v>0</v>
      </c>
      <c r="J108" s="842">
        <v>0</v>
      </c>
      <c r="K108" s="842">
        <v>0</v>
      </c>
      <c r="L108" s="842">
        <v>0</v>
      </c>
      <c r="M108" s="842">
        <v>0</v>
      </c>
      <c r="N108" s="842">
        <v>0</v>
      </c>
      <c r="O108" s="842">
        <v>0</v>
      </c>
      <c r="P108" s="842">
        <v>0</v>
      </c>
      <c r="Q108" s="842">
        <v>0</v>
      </c>
      <c r="R108" s="842">
        <v>0</v>
      </c>
      <c r="S108" s="842">
        <v>0</v>
      </c>
      <c r="T108" s="842">
        <v>0</v>
      </c>
      <c r="U108" s="842">
        <v>0</v>
      </c>
      <c r="V108" s="842">
        <v>0</v>
      </c>
      <c r="W108" s="842">
        <v>0</v>
      </c>
      <c r="X108" s="985">
        <v>1</v>
      </c>
    </row>
    <row r="109" spans="1:24" s="330" customFormat="1" ht="47.25">
      <c r="A109" s="838" t="s">
        <v>2469</v>
      </c>
      <c r="B109" s="840" t="s">
        <v>2276</v>
      </c>
      <c r="C109" s="842">
        <v>544.30600000000004</v>
      </c>
      <c r="D109" s="842">
        <v>544.30600000000004</v>
      </c>
      <c r="E109" s="842">
        <v>0</v>
      </c>
      <c r="F109" s="842">
        <v>0</v>
      </c>
      <c r="G109" s="842">
        <v>536.73400000000004</v>
      </c>
      <c r="H109" s="842">
        <v>0</v>
      </c>
      <c r="I109" s="842">
        <v>0</v>
      </c>
      <c r="J109" s="842">
        <v>0</v>
      </c>
      <c r="K109" s="842">
        <v>0</v>
      </c>
      <c r="L109" s="842">
        <v>0</v>
      </c>
      <c r="M109" s="842">
        <v>0</v>
      </c>
      <c r="N109" s="842">
        <v>0</v>
      </c>
      <c r="O109" s="842">
        <v>0</v>
      </c>
      <c r="P109" s="842">
        <v>0</v>
      </c>
      <c r="Q109" s="842">
        <v>536.73400000000004</v>
      </c>
      <c r="R109" s="842">
        <v>0</v>
      </c>
      <c r="S109" s="842">
        <v>0</v>
      </c>
      <c r="T109" s="842">
        <v>536.73400000000004</v>
      </c>
      <c r="U109" s="842">
        <v>0</v>
      </c>
      <c r="V109" s="842">
        <v>0</v>
      </c>
      <c r="W109" s="842">
        <v>0</v>
      </c>
      <c r="X109" s="985">
        <v>0.98608870745499777</v>
      </c>
    </row>
    <row r="110" spans="1:24" s="330" customFormat="1" ht="31.5">
      <c r="A110" s="838" t="s">
        <v>2469</v>
      </c>
      <c r="B110" s="839" t="s">
        <v>2316</v>
      </c>
      <c r="C110" s="842">
        <v>20.902999999999999</v>
      </c>
      <c r="D110" s="842">
        <v>20.902999999999999</v>
      </c>
      <c r="E110" s="842">
        <v>0</v>
      </c>
      <c r="F110" s="842">
        <v>0</v>
      </c>
      <c r="G110" s="842">
        <v>20.902999999999999</v>
      </c>
      <c r="H110" s="842">
        <v>0</v>
      </c>
      <c r="I110" s="842">
        <v>0</v>
      </c>
      <c r="J110" s="842">
        <v>0</v>
      </c>
      <c r="K110" s="842">
        <v>0</v>
      </c>
      <c r="L110" s="842">
        <v>0</v>
      </c>
      <c r="M110" s="842">
        <v>0</v>
      </c>
      <c r="N110" s="842">
        <v>0</v>
      </c>
      <c r="O110" s="842">
        <v>0</v>
      </c>
      <c r="P110" s="842">
        <v>0</v>
      </c>
      <c r="Q110" s="842">
        <v>20.902999999999999</v>
      </c>
      <c r="R110" s="842">
        <v>0</v>
      </c>
      <c r="S110" s="842">
        <v>20.902999999999999</v>
      </c>
      <c r="T110" s="842">
        <v>0</v>
      </c>
      <c r="U110" s="842">
        <v>0</v>
      </c>
      <c r="V110" s="842">
        <v>0</v>
      </c>
      <c r="W110" s="842">
        <v>0</v>
      </c>
      <c r="X110" s="985">
        <v>1</v>
      </c>
    </row>
    <row r="111" spans="1:24" s="330" customFormat="1" ht="63">
      <c r="A111" s="838" t="s">
        <v>2469</v>
      </c>
      <c r="B111" s="840" t="s">
        <v>2277</v>
      </c>
      <c r="C111" s="842">
        <v>72126</v>
      </c>
      <c r="D111" s="842">
        <v>0</v>
      </c>
      <c r="E111" s="842">
        <v>10500</v>
      </c>
      <c r="F111" s="842">
        <v>61626</v>
      </c>
      <c r="G111" s="842">
        <v>25158.440999999999</v>
      </c>
      <c r="H111" s="842">
        <v>0</v>
      </c>
      <c r="I111" s="842">
        <v>0</v>
      </c>
      <c r="J111" s="842">
        <v>0</v>
      </c>
      <c r="K111" s="842">
        <v>0</v>
      </c>
      <c r="L111" s="842">
        <v>0</v>
      </c>
      <c r="M111" s="842">
        <v>0</v>
      </c>
      <c r="N111" s="842">
        <v>0</v>
      </c>
      <c r="O111" s="842">
        <v>0</v>
      </c>
      <c r="P111" s="842">
        <v>0</v>
      </c>
      <c r="Q111" s="842">
        <v>25158.440999999999</v>
      </c>
      <c r="R111" s="842">
        <v>0</v>
      </c>
      <c r="S111" s="842">
        <v>25158.440999999999</v>
      </c>
      <c r="T111" s="842">
        <v>0</v>
      </c>
      <c r="U111" s="842">
        <v>0</v>
      </c>
      <c r="V111" s="842">
        <v>0</v>
      </c>
      <c r="W111" s="842">
        <v>0</v>
      </c>
      <c r="X111" s="985">
        <v>0.34881237001913318</v>
      </c>
    </row>
    <row r="112" spans="1:24" s="330" customFormat="1" ht="31.5">
      <c r="A112" s="838" t="s">
        <v>2469</v>
      </c>
      <c r="B112" s="840" t="s">
        <v>2317</v>
      </c>
      <c r="C112" s="842">
        <v>7673.05</v>
      </c>
      <c r="D112" s="842">
        <v>7673.05</v>
      </c>
      <c r="E112" s="842">
        <v>0</v>
      </c>
      <c r="F112" s="842">
        <v>0</v>
      </c>
      <c r="G112" s="842">
        <v>6900.0320000000002</v>
      </c>
      <c r="H112" s="842">
        <v>6900.0320000000002</v>
      </c>
      <c r="I112" s="842">
        <v>0</v>
      </c>
      <c r="J112" s="842">
        <v>0</v>
      </c>
      <c r="K112" s="842">
        <v>0</v>
      </c>
      <c r="L112" s="842">
        <v>0</v>
      </c>
      <c r="M112" s="842">
        <v>0</v>
      </c>
      <c r="N112" s="842">
        <v>0</v>
      </c>
      <c r="O112" s="842">
        <v>0</v>
      </c>
      <c r="P112" s="842">
        <v>0</v>
      </c>
      <c r="Q112" s="842">
        <v>0</v>
      </c>
      <c r="R112" s="842">
        <v>0</v>
      </c>
      <c r="S112" s="842">
        <v>0</v>
      </c>
      <c r="T112" s="842">
        <v>0</v>
      </c>
      <c r="U112" s="842">
        <v>0</v>
      </c>
      <c r="V112" s="842">
        <v>0</v>
      </c>
      <c r="W112" s="842">
        <v>0</v>
      </c>
      <c r="X112" s="985">
        <v>0.89925544600908369</v>
      </c>
    </row>
    <row r="113" spans="1:24" s="330" customFormat="1" ht="63">
      <c r="A113" s="838" t="s">
        <v>2469</v>
      </c>
      <c r="B113" s="840" t="s">
        <v>2318</v>
      </c>
      <c r="C113" s="842">
        <v>52275.416005999999</v>
      </c>
      <c r="D113" s="842">
        <v>4700.347006</v>
      </c>
      <c r="E113" s="842">
        <v>4000</v>
      </c>
      <c r="F113" s="842">
        <v>43575.069000000003</v>
      </c>
      <c r="G113" s="842">
        <v>17621.007399999999</v>
      </c>
      <c r="H113" s="842">
        <v>0</v>
      </c>
      <c r="I113" s="842">
        <v>0</v>
      </c>
      <c r="J113" s="842">
        <v>0</v>
      </c>
      <c r="K113" s="842">
        <v>0</v>
      </c>
      <c r="L113" s="842">
        <v>17621.007399999999</v>
      </c>
      <c r="M113" s="842">
        <v>0</v>
      </c>
      <c r="N113" s="842">
        <v>0</v>
      </c>
      <c r="O113" s="842">
        <v>0</v>
      </c>
      <c r="P113" s="842">
        <v>0</v>
      </c>
      <c r="Q113" s="842">
        <v>0</v>
      </c>
      <c r="R113" s="842">
        <v>0</v>
      </c>
      <c r="S113" s="842">
        <v>0</v>
      </c>
      <c r="T113" s="842">
        <v>0</v>
      </c>
      <c r="U113" s="842">
        <v>0</v>
      </c>
      <c r="V113" s="842">
        <v>0</v>
      </c>
      <c r="W113" s="842">
        <v>0</v>
      </c>
      <c r="X113" s="985">
        <v>0.337080194598117</v>
      </c>
    </row>
    <row r="114" spans="1:24" s="330" customFormat="1" ht="63">
      <c r="A114" s="838" t="s">
        <v>2469</v>
      </c>
      <c r="B114" s="840" t="s">
        <v>2561</v>
      </c>
      <c r="C114" s="842">
        <v>168.43199999999999</v>
      </c>
      <c r="D114" s="842">
        <v>0</v>
      </c>
      <c r="E114" s="842">
        <v>168.43199999999999</v>
      </c>
      <c r="F114" s="842">
        <v>0</v>
      </c>
      <c r="G114" s="842">
        <v>168.43199999999999</v>
      </c>
      <c r="H114" s="842">
        <v>0</v>
      </c>
      <c r="I114" s="842">
        <v>0</v>
      </c>
      <c r="J114" s="842">
        <v>0</v>
      </c>
      <c r="K114" s="842">
        <v>0</v>
      </c>
      <c r="L114" s="842">
        <v>0</v>
      </c>
      <c r="M114" s="842">
        <v>0</v>
      </c>
      <c r="N114" s="842">
        <v>0</v>
      </c>
      <c r="O114" s="842">
        <v>0</v>
      </c>
      <c r="P114" s="842">
        <v>0</v>
      </c>
      <c r="Q114" s="842">
        <v>0</v>
      </c>
      <c r="R114" s="842">
        <v>0</v>
      </c>
      <c r="S114" s="842">
        <v>0</v>
      </c>
      <c r="T114" s="842">
        <v>0</v>
      </c>
      <c r="U114" s="842">
        <v>168.43199999999999</v>
      </c>
      <c r="V114" s="842">
        <v>0</v>
      </c>
      <c r="W114" s="842">
        <v>0</v>
      </c>
      <c r="X114" s="985">
        <v>1</v>
      </c>
    </row>
    <row r="115" spans="1:24" s="330" customFormat="1" ht="47.25">
      <c r="A115" s="838" t="s">
        <v>2469</v>
      </c>
      <c r="B115" s="840" t="s">
        <v>2319</v>
      </c>
      <c r="C115" s="842">
        <v>2610</v>
      </c>
      <c r="D115" s="842">
        <v>0</v>
      </c>
      <c r="E115" s="842">
        <v>2610</v>
      </c>
      <c r="F115" s="842">
        <v>0</v>
      </c>
      <c r="G115" s="842">
        <v>2531.3359999999998</v>
      </c>
      <c r="H115" s="842">
        <v>0</v>
      </c>
      <c r="I115" s="842">
        <v>0</v>
      </c>
      <c r="J115" s="842">
        <v>0</v>
      </c>
      <c r="K115" s="842">
        <v>0</v>
      </c>
      <c r="L115" s="842">
        <v>0</v>
      </c>
      <c r="M115" s="842">
        <v>0</v>
      </c>
      <c r="N115" s="842">
        <v>0</v>
      </c>
      <c r="O115" s="842">
        <v>0</v>
      </c>
      <c r="P115" s="842">
        <v>0</v>
      </c>
      <c r="Q115" s="842">
        <v>0</v>
      </c>
      <c r="R115" s="842">
        <v>0</v>
      </c>
      <c r="S115" s="842">
        <v>0</v>
      </c>
      <c r="T115" s="842">
        <v>0</v>
      </c>
      <c r="U115" s="842">
        <v>0</v>
      </c>
      <c r="V115" s="842">
        <v>0</v>
      </c>
      <c r="W115" s="842">
        <v>2531.3359999999998</v>
      </c>
      <c r="X115" s="985">
        <v>0.96986053639846737</v>
      </c>
    </row>
    <row r="116" spans="1:24" s="330" customFormat="1" ht="31.5">
      <c r="A116" s="838" t="s">
        <v>2469</v>
      </c>
      <c r="B116" s="840" t="s">
        <v>2320</v>
      </c>
      <c r="C116" s="842">
        <v>773.78399999999999</v>
      </c>
      <c r="D116" s="842">
        <v>773.78399999999999</v>
      </c>
      <c r="E116" s="842">
        <v>0</v>
      </c>
      <c r="F116" s="842">
        <v>0</v>
      </c>
      <c r="G116" s="842">
        <v>615.91899999999998</v>
      </c>
      <c r="H116" s="842">
        <v>615.91899999999998</v>
      </c>
      <c r="I116" s="842">
        <v>0</v>
      </c>
      <c r="J116" s="842">
        <v>0</v>
      </c>
      <c r="K116" s="842">
        <v>0</v>
      </c>
      <c r="L116" s="842">
        <v>0</v>
      </c>
      <c r="M116" s="842">
        <v>0</v>
      </c>
      <c r="N116" s="842">
        <v>0</v>
      </c>
      <c r="O116" s="842">
        <v>0</v>
      </c>
      <c r="P116" s="842">
        <v>0</v>
      </c>
      <c r="Q116" s="842">
        <v>0</v>
      </c>
      <c r="R116" s="842">
        <v>0</v>
      </c>
      <c r="S116" s="842">
        <v>0</v>
      </c>
      <c r="T116" s="842">
        <v>0</v>
      </c>
      <c r="U116" s="842">
        <v>0</v>
      </c>
      <c r="V116" s="842">
        <v>0</v>
      </c>
      <c r="W116" s="842">
        <v>0</v>
      </c>
      <c r="X116" s="985">
        <v>0.79598311673541966</v>
      </c>
    </row>
    <row r="117" spans="1:24" s="330" customFormat="1" ht="31.5">
      <c r="A117" s="838" t="s">
        <v>2469</v>
      </c>
      <c r="B117" s="840" t="s">
        <v>2321</v>
      </c>
      <c r="C117" s="842">
        <v>2938.422</v>
      </c>
      <c r="D117" s="842">
        <v>938.42200000000003</v>
      </c>
      <c r="E117" s="842">
        <v>2000</v>
      </c>
      <c r="F117" s="842">
        <v>0</v>
      </c>
      <c r="G117" s="842">
        <v>2938.422</v>
      </c>
      <c r="H117" s="842">
        <v>0</v>
      </c>
      <c r="I117" s="842">
        <v>0</v>
      </c>
      <c r="J117" s="842">
        <v>0</v>
      </c>
      <c r="K117" s="842">
        <v>0</v>
      </c>
      <c r="L117" s="842">
        <v>0</v>
      </c>
      <c r="M117" s="842">
        <v>2938.422</v>
      </c>
      <c r="N117" s="842">
        <v>0</v>
      </c>
      <c r="O117" s="842">
        <v>0</v>
      </c>
      <c r="P117" s="842">
        <v>0</v>
      </c>
      <c r="Q117" s="842">
        <v>0</v>
      </c>
      <c r="R117" s="842">
        <v>0</v>
      </c>
      <c r="S117" s="842">
        <v>0</v>
      </c>
      <c r="T117" s="842">
        <v>0</v>
      </c>
      <c r="U117" s="842">
        <v>0</v>
      </c>
      <c r="V117" s="842">
        <v>0</v>
      </c>
      <c r="W117" s="842">
        <v>0</v>
      </c>
      <c r="X117" s="985">
        <v>1</v>
      </c>
    </row>
    <row r="118" spans="1:24" s="330" customFormat="1" ht="31.5">
      <c r="A118" s="838" t="s">
        <v>2469</v>
      </c>
      <c r="B118" s="840" t="s">
        <v>2322</v>
      </c>
      <c r="C118" s="842">
        <v>5465</v>
      </c>
      <c r="D118" s="842">
        <v>5465</v>
      </c>
      <c r="E118" s="842">
        <v>0</v>
      </c>
      <c r="F118" s="842">
        <v>0</v>
      </c>
      <c r="G118" s="842">
        <v>4699.223</v>
      </c>
      <c r="H118" s="842">
        <v>0</v>
      </c>
      <c r="I118" s="842">
        <v>0</v>
      </c>
      <c r="J118" s="842">
        <v>0</v>
      </c>
      <c r="K118" s="842">
        <v>0</v>
      </c>
      <c r="L118" s="842">
        <v>0</v>
      </c>
      <c r="M118" s="842">
        <v>4006.723</v>
      </c>
      <c r="N118" s="842">
        <v>0</v>
      </c>
      <c r="O118" s="842">
        <v>0</v>
      </c>
      <c r="P118" s="842">
        <v>0</v>
      </c>
      <c r="Q118" s="842">
        <v>692.5</v>
      </c>
      <c r="R118" s="842">
        <v>0</v>
      </c>
      <c r="S118" s="842">
        <v>0</v>
      </c>
      <c r="T118" s="842">
        <v>692.5</v>
      </c>
      <c r="U118" s="842">
        <v>0</v>
      </c>
      <c r="V118" s="842">
        <v>0</v>
      </c>
      <c r="W118" s="842">
        <v>0</v>
      </c>
      <c r="X118" s="985">
        <v>0.85987612076852693</v>
      </c>
    </row>
    <row r="119" spans="1:24" s="330" customFormat="1" ht="31.5">
      <c r="A119" s="838" t="s">
        <v>2469</v>
      </c>
      <c r="B119" s="840" t="s">
        <v>2562</v>
      </c>
      <c r="C119" s="842">
        <v>31862.524000000001</v>
      </c>
      <c r="D119" s="842">
        <v>24026.524000000001</v>
      </c>
      <c r="E119" s="842">
        <v>7836</v>
      </c>
      <c r="F119" s="842">
        <v>0</v>
      </c>
      <c r="G119" s="842">
        <v>5330</v>
      </c>
      <c r="H119" s="842">
        <v>0</v>
      </c>
      <c r="I119" s="842">
        <v>0</v>
      </c>
      <c r="J119" s="842">
        <v>0</v>
      </c>
      <c r="K119" s="842">
        <v>0</v>
      </c>
      <c r="L119" s="842">
        <v>0</v>
      </c>
      <c r="M119" s="842">
        <v>5330</v>
      </c>
      <c r="N119" s="842">
        <v>0</v>
      </c>
      <c r="O119" s="842">
        <v>0</v>
      </c>
      <c r="P119" s="842">
        <v>0</v>
      </c>
      <c r="Q119" s="842">
        <v>0</v>
      </c>
      <c r="R119" s="842">
        <v>0</v>
      </c>
      <c r="S119" s="842">
        <v>0</v>
      </c>
      <c r="T119" s="842">
        <v>0</v>
      </c>
      <c r="U119" s="842">
        <v>0</v>
      </c>
      <c r="V119" s="842">
        <v>0</v>
      </c>
      <c r="W119" s="842">
        <v>0</v>
      </c>
      <c r="X119" s="985">
        <v>0.16728116077684241</v>
      </c>
    </row>
    <row r="120" spans="1:24" s="330" customFormat="1" ht="31.5">
      <c r="A120" s="838" t="s">
        <v>2469</v>
      </c>
      <c r="B120" s="840" t="s">
        <v>2323</v>
      </c>
      <c r="C120" s="842">
        <v>3839.2986000000001</v>
      </c>
      <c r="D120" s="842">
        <v>0</v>
      </c>
      <c r="E120" s="842">
        <v>0</v>
      </c>
      <c r="F120" s="842">
        <v>3839.2986000000001</v>
      </c>
      <c r="G120" s="842">
        <v>1950.6813</v>
      </c>
      <c r="H120" s="842">
        <v>0</v>
      </c>
      <c r="I120" s="842">
        <v>0</v>
      </c>
      <c r="J120" s="842">
        <v>0</v>
      </c>
      <c r="K120" s="842">
        <v>0</v>
      </c>
      <c r="L120" s="842">
        <v>0</v>
      </c>
      <c r="M120" s="842">
        <v>0</v>
      </c>
      <c r="N120" s="842">
        <v>0</v>
      </c>
      <c r="O120" s="842">
        <v>0</v>
      </c>
      <c r="P120" s="842">
        <v>0</v>
      </c>
      <c r="Q120" s="842">
        <v>1950.6813</v>
      </c>
      <c r="R120" s="842">
        <v>1483.134</v>
      </c>
      <c r="S120" s="842">
        <v>0</v>
      </c>
      <c r="T120" s="842">
        <v>467.54730000000001</v>
      </c>
      <c r="U120" s="842">
        <v>0</v>
      </c>
      <c r="V120" s="842">
        <v>0</v>
      </c>
      <c r="W120" s="842">
        <v>0</v>
      </c>
      <c r="X120" s="985">
        <v>0.50808272636048679</v>
      </c>
    </row>
    <row r="121" spans="1:24" s="330" customFormat="1" ht="31.5">
      <c r="A121" s="838" t="s">
        <v>2469</v>
      </c>
      <c r="B121" s="840" t="s">
        <v>2324</v>
      </c>
      <c r="C121" s="842">
        <v>1446</v>
      </c>
      <c r="D121" s="842">
        <v>100</v>
      </c>
      <c r="E121" s="842">
        <v>1346</v>
      </c>
      <c r="F121" s="842">
        <v>0</v>
      </c>
      <c r="G121" s="842">
        <v>1382.0650000000001</v>
      </c>
      <c r="H121" s="842">
        <v>1382.0650000000001</v>
      </c>
      <c r="I121" s="842">
        <v>0</v>
      </c>
      <c r="J121" s="842">
        <v>0</v>
      </c>
      <c r="K121" s="842">
        <v>0</v>
      </c>
      <c r="L121" s="842">
        <v>0</v>
      </c>
      <c r="M121" s="842">
        <v>0</v>
      </c>
      <c r="N121" s="842">
        <v>0</v>
      </c>
      <c r="O121" s="842">
        <v>0</v>
      </c>
      <c r="P121" s="842">
        <v>0</v>
      </c>
      <c r="Q121" s="842">
        <v>0</v>
      </c>
      <c r="R121" s="842">
        <v>0</v>
      </c>
      <c r="S121" s="842">
        <v>0</v>
      </c>
      <c r="T121" s="842">
        <v>0</v>
      </c>
      <c r="U121" s="842">
        <v>0</v>
      </c>
      <c r="V121" s="842">
        <v>0</v>
      </c>
      <c r="W121" s="842">
        <v>0</v>
      </c>
      <c r="X121" s="985">
        <v>0.95578492392807746</v>
      </c>
    </row>
    <row r="122" spans="1:24" s="330" customFormat="1" ht="63">
      <c r="A122" s="838" t="s">
        <v>2469</v>
      </c>
      <c r="B122" s="840" t="s">
        <v>2563</v>
      </c>
      <c r="C122" s="842">
        <v>628.95638399999996</v>
      </c>
      <c r="D122" s="842">
        <v>368.95638400000001</v>
      </c>
      <c r="E122" s="842">
        <v>0</v>
      </c>
      <c r="F122" s="842">
        <v>260</v>
      </c>
      <c r="G122" s="842">
        <v>329.58917700000001</v>
      </c>
      <c r="H122" s="842">
        <v>0</v>
      </c>
      <c r="I122" s="842">
        <v>0</v>
      </c>
      <c r="J122" s="842">
        <v>0</v>
      </c>
      <c r="K122" s="842">
        <v>0</v>
      </c>
      <c r="L122" s="842">
        <v>0</v>
      </c>
      <c r="M122" s="842">
        <v>0</v>
      </c>
      <c r="N122" s="842">
        <v>0</v>
      </c>
      <c r="O122" s="842">
        <v>0</v>
      </c>
      <c r="P122" s="842">
        <v>0</v>
      </c>
      <c r="Q122" s="842">
        <v>329.58917700000001</v>
      </c>
      <c r="R122" s="842">
        <v>0</v>
      </c>
      <c r="S122" s="842">
        <v>0</v>
      </c>
      <c r="T122" s="842">
        <v>329.58917700000001</v>
      </c>
      <c r="U122" s="842">
        <v>0</v>
      </c>
      <c r="V122" s="842">
        <v>0</v>
      </c>
      <c r="W122" s="842">
        <v>0</v>
      </c>
      <c r="X122" s="985">
        <v>0.52402548950039762</v>
      </c>
    </row>
    <row r="123" spans="1:24" s="330" customFormat="1" ht="78.75">
      <c r="A123" s="838" t="s">
        <v>2469</v>
      </c>
      <c r="B123" s="840" t="s">
        <v>2564</v>
      </c>
      <c r="C123" s="842">
        <v>14568.856</v>
      </c>
      <c r="D123" s="842">
        <v>3767.4810000000002</v>
      </c>
      <c r="E123" s="842">
        <v>-1462</v>
      </c>
      <c r="F123" s="842">
        <v>12263.375</v>
      </c>
      <c r="G123" s="842">
        <v>5.2009999999999996</v>
      </c>
      <c r="H123" s="842">
        <v>0</v>
      </c>
      <c r="I123" s="842">
        <v>0</v>
      </c>
      <c r="J123" s="842">
        <v>0</v>
      </c>
      <c r="K123" s="842">
        <v>0</v>
      </c>
      <c r="L123" s="842">
        <v>0</v>
      </c>
      <c r="M123" s="842">
        <v>0</v>
      </c>
      <c r="N123" s="842">
        <v>0</v>
      </c>
      <c r="O123" s="842">
        <v>0</v>
      </c>
      <c r="P123" s="842">
        <v>0</v>
      </c>
      <c r="Q123" s="842">
        <v>5.2009999999999996</v>
      </c>
      <c r="R123" s="842">
        <v>0</v>
      </c>
      <c r="S123" s="842">
        <v>0</v>
      </c>
      <c r="T123" s="842">
        <v>5.2009999999999996</v>
      </c>
      <c r="U123" s="842">
        <v>0</v>
      </c>
      <c r="V123" s="842">
        <v>0</v>
      </c>
      <c r="W123" s="842">
        <v>0</v>
      </c>
      <c r="X123" s="985">
        <v>3.5699439956026743E-4</v>
      </c>
    </row>
    <row r="124" spans="1:24" s="330" customFormat="1" ht="78.75">
      <c r="A124" s="838" t="s">
        <v>2469</v>
      </c>
      <c r="B124" s="840" t="s">
        <v>2565</v>
      </c>
      <c r="C124" s="842">
        <v>21203.9486</v>
      </c>
      <c r="D124" s="842">
        <v>17603.9486</v>
      </c>
      <c r="E124" s="842">
        <v>0</v>
      </c>
      <c r="F124" s="842">
        <v>3600</v>
      </c>
      <c r="G124" s="842">
        <v>5042.7085999999999</v>
      </c>
      <c r="H124" s="842">
        <v>0</v>
      </c>
      <c r="I124" s="842">
        <v>0</v>
      </c>
      <c r="J124" s="842">
        <v>0</v>
      </c>
      <c r="K124" s="842">
        <v>0</v>
      </c>
      <c r="L124" s="842">
        <v>0</v>
      </c>
      <c r="M124" s="842">
        <v>0</v>
      </c>
      <c r="N124" s="842">
        <v>0</v>
      </c>
      <c r="O124" s="842">
        <v>0</v>
      </c>
      <c r="P124" s="842">
        <v>0</v>
      </c>
      <c r="Q124" s="842">
        <v>5042.7085999999999</v>
      </c>
      <c r="R124" s="842">
        <v>0</v>
      </c>
      <c r="S124" s="842">
        <v>0</v>
      </c>
      <c r="T124" s="842">
        <v>5042.7085999999999</v>
      </c>
      <c r="U124" s="842">
        <v>0</v>
      </c>
      <c r="V124" s="842">
        <v>0</v>
      </c>
      <c r="W124" s="842">
        <v>0</v>
      </c>
      <c r="X124" s="985">
        <v>0.23781931823773617</v>
      </c>
    </row>
    <row r="125" spans="1:24" s="330" customFormat="1" ht="78.75">
      <c r="A125" s="838" t="s">
        <v>2469</v>
      </c>
      <c r="B125" s="840" t="s">
        <v>2566</v>
      </c>
      <c r="C125" s="842">
        <v>1329.702</v>
      </c>
      <c r="D125" s="842">
        <v>829.702</v>
      </c>
      <c r="E125" s="842">
        <v>500</v>
      </c>
      <c r="F125" s="842">
        <v>0</v>
      </c>
      <c r="G125" s="842">
        <v>429.20800000000003</v>
      </c>
      <c r="H125" s="842">
        <v>0</v>
      </c>
      <c r="I125" s="842">
        <v>0</v>
      </c>
      <c r="J125" s="842">
        <v>0</v>
      </c>
      <c r="K125" s="842">
        <v>0</v>
      </c>
      <c r="L125" s="842">
        <v>0</v>
      </c>
      <c r="M125" s="842">
        <v>0</v>
      </c>
      <c r="N125" s="842">
        <v>0</v>
      </c>
      <c r="O125" s="842">
        <v>0</v>
      </c>
      <c r="P125" s="842">
        <v>0</v>
      </c>
      <c r="Q125" s="842">
        <v>429.20800000000003</v>
      </c>
      <c r="R125" s="842">
        <v>0</v>
      </c>
      <c r="S125" s="842">
        <v>0</v>
      </c>
      <c r="T125" s="842">
        <v>429.20800000000003</v>
      </c>
      <c r="U125" s="842">
        <v>0</v>
      </c>
      <c r="V125" s="842">
        <v>0</v>
      </c>
      <c r="W125" s="842">
        <v>0</v>
      </c>
      <c r="X125" s="985">
        <v>0.32278510523410509</v>
      </c>
    </row>
    <row r="126" spans="1:24" s="330" customFormat="1" ht="31.5">
      <c r="A126" s="838" t="s">
        <v>2469</v>
      </c>
      <c r="B126" s="840" t="s">
        <v>2325</v>
      </c>
      <c r="C126" s="842">
        <v>500</v>
      </c>
      <c r="D126" s="842">
        <v>0</v>
      </c>
      <c r="E126" s="842">
        <v>500</v>
      </c>
      <c r="F126" s="842">
        <v>0</v>
      </c>
      <c r="G126" s="842">
        <v>470.28699999999998</v>
      </c>
      <c r="H126" s="842">
        <v>470.28699999999998</v>
      </c>
      <c r="I126" s="842">
        <v>0</v>
      </c>
      <c r="J126" s="842">
        <v>0</v>
      </c>
      <c r="K126" s="842">
        <v>0</v>
      </c>
      <c r="L126" s="842">
        <v>0</v>
      </c>
      <c r="M126" s="842">
        <v>0</v>
      </c>
      <c r="N126" s="842">
        <v>0</v>
      </c>
      <c r="O126" s="842">
        <v>0</v>
      </c>
      <c r="P126" s="842">
        <v>0</v>
      </c>
      <c r="Q126" s="842">
        <v>0</v>
      </c>
      <c r="R126" s="842">
        <v>0</v>
      </c>
      <c r="S126" s="842">
        <v>0</v>
      </c>
      <c r="T126" s="842">
        <v>0</v>
      </c>
      <c r="U126" s="842">
        <v>0</v>
      </c>
      <c r="V126" s="842">
        <v>0</v>
      </c>
      <c r="W126" s="842">
        <v>0</v>
      </c>
      <c r="X126" s="985">
        <v>0.94057399999999991</v>
      </c>
    </row>
    <row r="127" spans="1:24" s="330" customFormat="1" ht="47.25">
      <c r="A127" s="838" t="s">
        <v>2469</v>
      </c>
      <c r="B127" s="840" t="s">
        <v>2326</v>
      </c>
      <c r="C127" s="842">
        <v>2900</v>
      </c>
      <c r="D127" s="842">
        <v>0</v>
      </c>
      <c r="E127" s="842">
        <v>2900</v>
      </c>
      <c r="F127" s="842">
        <v>0</v>
      </c>
      <c r="G127" s="842">
        <v>2882.9650000000001</v>
      </c>
      <c r="H127" s="842">
        <v>2882.9650000000001</v>
      </c>
      <c r="I127" s="842">
        <v>0</v>
      </c>
      <c r="J127" s="842">
        <v>0</v>
      </c>
      <c r="K127" s="842">
        <v>0</v>
      </c>
      <c r="L127" s="842">
        <v>0</v>
      </c>
      <c r="M127" s="842">
        <v>0</v>
      </c>
      <c r="N127" s="842">
        <v>0</v>
      </c>
      <c r="O127" s="842">
        <v>0</v>
      </c>
      <c r="P127" s="842">
        <v>0</v>
      </c>
      <c r="Q127" s="842">
        <v>0</v>
      </c>
      <c r="R127" s="842">
        <v>0</v>
      </c>
      <c r="S127" s="842">
        <v>0</v>
      </c>
      <c r="T127" s="842">
        <v>0</v>
      </c>
      <c r="U127" s="842">
        <v>0</v>
      </c>
      <c r="V127" s="842">
        <v>0</v>
      </c>
      <c r="W127" s="842">
        <v>0</v>
      </c>
      <c r="X127" s="985">
        <v>0.99412586206896558</v>
      </c>
    </row>
    <row r="128" spans="1:24" s="330" customFormat="1" ht="31.5">
      <c r="A128" s="838" t="s">
        <v>2469</v>
      </c>
      <c r="B128" s="840" t="s">
        <v>2327</v>
      </c>
      <c r="C128" s="842">
        <v>1900</v>
      </c>
      <c r="D128" s="842">
        <v>0</v>
      </c>
      <c r="E128" s="842">
        <v>0</v>
      </c>
      <c r="F128" s="842">
        <v>1900</v>
      </c>
      <c r="G128" s="842">
        <v>1900</v>
      </c>
      <c r="H128" s="842">
        <v>0</v>
      </c>
      <c r="I128" s="842">
        <v>0</v>
      </c>
      <c r="J128" s="842">
        <v>0</v>
      </c>
      <c r="K128" s="842">
        <v>0</v>
      </c>
      <c r="L128" s="842">
        <v>0</v>
      </c>
      <c r="M128" s="842">
        <v>0</v>
      </c>
      <c r="N128" s="842">
        <v>0</v>
      </c>
      <c r="O128" s="842">
        <v>0</v>
      </c>
      <c r="P128" s="842">
        <v>0</v>
      </c>
      <c r="Q128" s="842">
        <v>1900</v>
      </c>
      <c r="R128" s="842">
        <v>0</v>
      </c>
      <c r="S128" s="842">
        <v>1900</v>
      </c>
      <c r="T128" s="842">
        <v>0</v>
      </c>
      <c r="U128" s="842">
        <v>0</v>
      </c>
      <c r="V128" s="842">
        <v>0</v>
      </c>
      <c r="W128" s="842">
        <v>0</v>
      </c>
      <c r="X128" s="985">
        <v>1</v>
      </c>
    </row>
    <row r="129" spans="1:24" s="330" customFormat="1" ht="63">
      <c r="A129" s="838" t="s">
        <v>2469</v>
      </c>
      <c r="B129" s="840" t="s">
        <v>2567</v>
      </c>
      <c r="C129" s="842">
        <v>9625.5651999999991</v>
      </c>
      <c r="D129" s="842">
        <v>21725.565200000001</v>
      </c>
      <c r="E129" s="842">
        <v>-2562</v>
      </c>
      <c r="F129" s="842">
        <v>-9538</v>
      </c>
      <c r="G129" s="842">
        <v>16.266999999999999</v>
      </c>
      <c r="H129" s="842">
        <v>0</v>
      </c>
      <c r="I129" s="842">
        <v>0</v>
      </c>
      <c r="J129" s="842">
        <v>0</v>
      </c>
      <c r="K129" s="842">
        <v>0</v>
      </c>
      <c r="L129" s="842">
        <v>0</v>
      </c>
      <c r="M129" s="842">
        <v>0</v>
      </c>
      <c r="N129" s="842">
        <v>0</v>
      </c>
      <c r="O129" s="842">
        <v>0</v>
      </c>
      <c r="P129" s="842">
        <v>0</v>
      </c>
      <c r="Q129" s="842">
        <v>16.266999999999999</v>
      </c>
      <c r="R129" s="842">
        <v>0</v>
      </c>
      <c r="S129" s="842">
        <v>0</v>
      </c>
      <c r="T129" s="842">
        <v>16.266999999999999</v>
      </c>
      <c r="U129" s="842">
        <v>0</v>
      </c>
      <c r="V129" s="842">
        <v>0</v>
      </c>
      <c r="W129" s="842">
        <v>0</v>
      </c>
      <c r="X129" s="985">
        <v>1.6899786830180113E-3</v>
      </c>
    </row>
    <row r="130" spans="1:24" s="330" customFormat="1" ht="31.5">
      <c r="A130" s="838" t="s">
        <v>2469</v>
      </c>
      <c r="B130" s="840" t="s">
        <v>2328</v>
      </c>
      <c r="C130" s="842">
        <v>1860</v>
      </c>
      <c r="D130" s="842">
        <v>60</v>
      </c>
      <c r="E130" s="842">
        <v>1800</v>
      </c>
      <c r="F130" s="842">
        <v>0</v>
      </c>
      <c r="G130" s="842">
        <v>1860</v>
      </c>
      <c r="H130" s="842">
        <v>1860</v>
      </c>
      <c r="I130" s="842">
        <v>0</v>
      </c>
      <c r="J130" s="842">
        <v>0</v>
      </c>
      <c r="K130" s="842">
        <v>0</v>
      </c>
      <c r="L130" s="842">
        <v>0</v>
      </c>
      <c r="M130" s="842">
        <v>0</v>
      </c>
      <c r="N130" s="842">
        <v>0</v>
      </c>
      <c r="O130" s="842">
        <v>0</v>
      </c>
      <c r="P130" s="842">
        <v>0</v>
      </c>
      <c r="Q130" s="842">
        <v>0</v>
      </c>
      <c r="R130" s="842">
        <v>0</v>
      </c>
      <c r="S130" s="842">
        <v>0</v>
      </c>
      <c r="T130" s="842">
        <v>0</v>
      </c>
      <c r="U130" s="842">
        <v>0</v>
      </c>
      <c r="V130" s="842">
        <v>0</v>
      </c>
      <c r="W130" s="842">
        <v>0</v>
      </c>
      <c r="X130" s="985">
        <v>1</v>
      </c>
    </row>
    <row r="131" spans="1:24" s="330" customFormat="1" ht="31.5">
      <c r="A131" s="838" t="s">
        <v>2469</v>
      </c>
      <c r="B131" s="840" t="s">
        <v>2329</v>
      </c>
      <c r="C131" s="842">
        <v>4965.2920000000004</v>
      </c>
      <c r="D131" s="842">
        <v>1165.2919999999999</v>
      </c>
      <c r="E131" s="842">
        <v>3800</v>
      </c>
      <c r="F131" s="842">
        <v>0</v>
      </c>
      <c r="G131" s="842">
        <v>4965.2920000000004</v>
      </c>
      <c r="H131" s="842">
        <v>4965.2920000000004</v>
      </c>
      <c r="I131" s="842">
        <v>0</v>
      </c>
      <c r="J131" s="842">
        <v>0</v>
      </c>
      <c r="K131" s="842">
        <v>0</v>
      </c>
      <c r="L131" s="842">
        <v>0</v>
      </c>
      <c r="M131" s="842">
        <v>0</v>
      </c>
      <c r="N131" s="842">
        <v>0</v>
      </c>
      <c r="O131" s="842">
        <v>0</v>
      </c>
      <c r="P131" s="842">
        <v>0</v>
      </c>
      <c r="Q131" s="842">
        <v>0</v>
      </c>
      <c r="R131" s="842">
        <v>0</v>
      </c>
      <c r="S131" s="842">
        <v>0</v>
      </c>
      <c r="T131" s="842">
        <v>0</v>
      </c>
      <c r="U131" s="842">
        <v>0</v>
      </c>
      <c r="V131" s="842">
        <v>0</v>
      </c>
      <c r="W131" s="842">
        <v>0</v>
      </c>
      <c r="X131" s="985">
        <v>1</v>
      </c>
    </row>
    <row r="132" spans="1:24" s="330" customFormat="1" ht="31.5">
      <c r="A132" s="838" t="s">
        <v>2469</v>
      </c>
      <c r="B132" s="840" t="s">
        <v>2330</v>
      </c>
      <c r="C132" s="842">
        <v>1643.2670000000001</v>
      </c>
      <c r="D132" s="842">
        <v>504.84100000000001</v>
      </c>
      <c r="E132" s="842">
        <v>1138.4259999999999</v>
      </c>
      <c r="F132" s="842">
        <v>0</v>
      </c>
      <c r="G132" s="842">
        <v>1643.2670000000001</v>
      </c>
      <c r="H132" s="842">
        <v>1643.2670000000001</v>
      </c>
      <c r="I132" s="842">
        <v>0</v>
      </c>
      <c r="J132" s="842">
        <v>0</v>
      </c>
      <c r="K132" s="842">
        <v>0</v>
      </c>
      <c r="L132" s="842">
        <v>0</v>
      </c>
      <c r="M132" s="842">
        <v>0</v>
      </c>
      <c r="N132" s="842">
        <v>0</v>
      </c>
      <c r="O132" s="842">
        <v>0</v>
      </c>
      <c r="P132" s="842">
        <v>0</v>
      </c>
      <c r="Q132" s="842">
        <v>0</v>
      </c>
      <c r="R132" s="842">
        <v>0</v>
      </c>
      <c r="S132" s="842">
        <v>0</v>
      </c>
      <c r="T132" s="842">
        <v>0</v>
      </c>
      <c r="U132" s="842">
        <v>0</v>
      </c>
      <c r="V132" s="842">
        <v>0</v>
      </c>
      <c r="W132" s="842">
        <v>0</v>
      </c>
      <c r="X132" s="985">
        <v>1</v>
      </c>
    </row>
    <row r="133" spans="1:24" s="330" customFormat="1" ht="47.25">
      <c r="A133" s="838" t="s">
        <v>2469</v>
      </c>
      <c r="B133" s="840" t="s">
        <v>2331</v>
      </c>
      <c r="C133" s="842">
        <v>2156.701</v>
      </c>
      <c r="D133" s="842">
        <v>619.59699999999998</v>
      </c>
      <c r="E133" s="842">
        <v>1537.104</v>
      </c>
      <c r="F133" s="842">
        <v>0</v>
      </c>
      <c r="G133" s="842">
        <v>2155.422</v>
      </c>
      <c r="H133" s="842">
        <v>2155.422</v>
      </c>
      <c r="I133" s="842">
        <v>0</v>
      </c>
      <c r="J133" s="842">
        <v>0</v>
      </c>
      <c r="K133" s="842">
        <v>0</v>
      </c>
      <c r="L133" s="842">
        <v>0</v>
      </c>
      <c r="M133" s="842">
        <v>0</v>
      </c>
      <c r="N133" s="842">
        <v>0</v>
      </c>
      <c r="O133" s="842">
        <v>0</v>
      </c>
      <c r="P133" s="842">
        <v>0</v>
      </c>
      <c r="Q133" s="842">
        <v>0</v>
      </c>
      <c r="R133" s="842">
        <v>0</v>
      </c>
      <c r="S133" s="842">
        <v>0</v>
      </c>
      <c r="T133" s="842">
        <v>0</v>
      </c>
      <c r="U133" s="842">
        <v>0</v>
      </c>
      <c r="V133" s="842">
        <v>0</v>
      </c>
      <c r="W133" s="842">
        <v>0</v>
      </c>
      <c r="X133" s="985">
        <v>0.99940696461864675</v>
      </c>
    </row>
    <row r="134" spans="1:24" s="330" customFormat="1" ht="63">
      <c r="A134" s="838" t="s">
        <v>2469</v>
      </c>
      <c r="B134" s="840" t="s">
        <v>2332</v>
      </c>
      <c r="C134" s="842">
        <v>500</v>
      </c>
      <c r="D134" s="842">
        <v>0</v>
      </c>
      <c r="E134" s="842">
        <v>500</v>
      </c>
      <c r="F134" s="842">
        <v>0</v>
      </c>
      <c r="G134" s="842">
        <v>477.37</v>
      </c>
      <c r="H134" s="842">
        <v>0</v>
      </c>
      <c r="I134" s="842">
        <v>0</v>
      </c>
      <c r="J134" s="842">
        <v>0</v>
      </c>
      <c r="K134" s="842">
        <v>0</v>
      </c>
      <c r="L134" s="842">
        <v>0</v>
      </c>
      <c r="M134" s="842">
        <v>477.37</v>
      </c>
      <c r="N134" s="842">
        <v>0</v>
      </c>
      <c r="O134" s="842">
        <v>0</v>
      </c>
      <c r="P134" s="842">
        <v>0</v>
      </c>
      <c r="Q134" s="842">
        <v>0</v>
      </c>
      <c r="R134" s="842">
        <v>0</v>
      </c>
      <c r="S134" s="842">
        <v>0</v>
      </c>
      <c r="T134" s="842">
        <v>0</v>
      </c>
      <c r="U134" s="842">
        <v>0</v>
      </c>
      <c r="V134" s="842">
        <v>0</v>
      </c>
      <c r="W134" s="842">
        <v>0</v>
      </c>
      <c r="X134" s="985">
        <v>0.95474000000000003</v>
      </c>
    </row>
    <row r="135" spans="1:24" s="330" customFormat="1" ht="47.25">
      <c r="A135" s="838" t="s">
        <v>2469</v>
      </c>
      <c r="B135" s="840" t="s">
        <v>2284</v>
      </c>
      <c r="C135" s="842">
        <v>189654.81700000001</v>
      </c>
      <c r="D135" s="842">
        <v>29654.816999999999</v>
      </c>
      <c r="E135" s="842">
        <v>160000</v>
      </c>
      <c r="F135" s="842">
        <v>0</v>
      </c>
      <c r="G135" s="842">
        <v>29654.816999999999</v>
      </c>
      <c r="H135" s="842">
        <v>0</v>
      </c>
      <c r="I135" s="842">
        <v>0</v>
      </c>
      <c r="J135" s="842">
        <v>0</v>
      </c>
      <c r="K135" s="842">
        <v>0</v>
      </c>
      <c r="L135" s="842">
        <v>0</v>
      </c>
      <c r="M135" s="842">
        <v>0</v>
      </c>
      <c r="N135" s="842">
        <v>0</v>
      </c>
      <c r="O135" s="842">
        <v>0</v>
      </c>
      <c r="P135" s="842">
        <v>0</v>
      </c>
      <c r="Q135" s="842">
        <v>29654.816999999999</v>
      </c>
      <c r="R135" s="842">
        <v>0</v>
      </c>
      <c r="S135" s="842">
        <v>0</v>
      </c>
      <c r="T135" s="842">
        <v>29654.816999999999</v>
      </c>
      <c r="U135" s="842">
        <v>0</v>
      </c>
      <c r="V135" s="842">
        <v>0</v>
      </c>
      <c r="W135" s="842">
        <v>0</v>
      </c>
      <c r="X135" s="985">
        <v>0.15636205538612816</v>
      </c>
    </row>
    <row r="136" spans="1:24" s="330" customFormat="1" ht="47.25">
      <c r="A136" s="838" t="s">
        <v>2469</v>
      </c>
      <c r="B136" s="840" t="s">
        <v>2333</v>
      </c>
      <c r="C136" s="842">
        <v>1000</v>
      </c>
      <c r="D136" s="842">
        <v>0</v>
      </c>
      <c r="E136" s="842">
        <v>1000</v>
      </c>
      <c r="F136" s="842">
        <v>0</v>
      </c>
      <c r="G136" s="842">
        <v>893.50599999999997</v>
      </c>
      <c r="H136" s="842">
        <v>893.50599999999997</v>
      </c>
      <c r="I136" s="842">
        <v>0</v>
      </c>
      <c r="J136" s="842">
        <v>0</v>
      </c>
      <c r="K136" s="842">
        <v>0</v>
      </c>
      <c r="L136" s="842">
        <v>0</v>
      </c>
      <c r="M136" s="842">
        <v>0</v>
      </c>
      <c r="N136" s="842">
        <v>0</v>
      </c>
      <c r="O136" s="842">
        <v>0</v>
      </c>
      <c r="P136" s="842">
        <v>0</v>
      </c>
      <c r="Q136" s="842">
        <v>0</v>
      </c>
      <c r="R136" s="842">
        <v>0</v>
      </c>
      <c r="S136" s="842">
        <v>0</v>
      </c>
      <c r="T136" s="842">
        <v>0</v>
      </c>
      <c r="U136" s="842">
        <v>0</v>
      </c>
      <c r="V136" s="842">
        <v>0</v>
      </c>
      <c r="W136" s="842">
        <v>0</v>
      </c>
      <c r="X136" s="985">
        <v>0.89350600000000002</v>
      </c>
    </row>
    <row r="137" spans="1:24" s="330" customFormat="1" ht="47.25">
      <c r="A137" s="838" t="s">
        <v>2469</v>
      </c>
      <c r="B137" s="840" t="s">
        <v>2334</v>
      </c>
      <c r="C137" s="842">
        <v>1000</v>
      </c>
      <c r="D137" s="842">
        <v>0</v>
      </c>
      <c r="E137" s="842">
        <v>1000</v>
      </c>
      <c r="F137" s="842">
        <v>0</v>
      </c>
      <c r="G137" s="842">
        <v>935.98599999999999</v>
      </c>
      <c r="H137" s="842">
        <v>935.98599999999999</v>
      </c>
      <c r="I137" s="842">
        <v>0</v>
      </c>
      <c r="J137" s="842">
        <v>0</v>
      </c>
      <c r="K137" s="842">
        <v>0</v>
      </c>
      <c r="L137" s="842">
        <v>0</v>
      </c>
      <c r="M137" s="842">
        <v>0</v>
      </c>
      <c r="N137" s="842">
        <v>0</v>
      </c>
      <c r="O137" s="842">
        <v>0</v>
      </c>
      <c r="P137" s="842">
        <v>0</v>
      </c>
      <c r="Q137" s="842">
        <v>0</v>
      </c>
      <c r="R137" s="842">
        <v>0</v>
      </c>
      <c r="S137" s="842">
        <v>0</v>
      </c>
      <c r="T137" s="842">
        <v>0</v>
      </c>
      <c r="U137" s="842">
        <v>0</v>
      </c>
      <c r="V137" s="842">
        <v>0</v>
      </c>
      <c r="W137" s="842">
        <v>0</v>
      </c>
      <c r="X137" s="985">
        <v>0.93598599999999998</v>
      </c>
    </row>
    <row r="138" spans="1:24" s="330" customFormat="1" ht="47.25">
      <c r="A138" s="838" t="s">
        <v>2469</v>
      </c>
      <c r="B138" s="840" t="s">
        <v>2335</v>
      </c>
      <c r="C138" s="842">
        <v>5500</v>
      </c>
      <c r="D138" s="842">
        <v>0</v>
      </c>
      <c r="E138" s="842">
        <v>5500</v>
      </c>
      <c r="F138" s="842">
        <v>0</v>
      </c>
      <c r="G138" s="842">
        <v>5298.3</v>
      </c>
      <c r="H138" s="842">
        <v>5298.3</v>
      </c>
      <c r="I138" s="842">
        <v>0</v>
      </c>
      <c r="J138" s="842">
        <v>0</v>
      </c>
      <c r="K138" s="842">
        <v>0</v>
      </c>
      <c r="L138" s="842">
        <v>0</v>
      </c>
      <c r="M138" s="842">
        <v>0</v>
      </c>
      <c r="N138" s="842">
        <v>0</v>
      </c>
      <c r="O138" s="842">
        <v>0</v>
      </c>
      <c r="P138" s="842">
        <v>0</v>
      </c>
      <c r="Q138" s="842">
        <v>0</v>
      </c>
      <c r="R138" s="842">
        <v>0</v>
      </c>
      <c r="S138" s="842">
        <v>0</v>
      </c>
      <c r="T138" s="842">
        <v>0</v>
      </c>
      <c r="U138" s="842">
        <v>0</v>
      </c>
      <c r="V138" s="842">
        <v>0</v>
      </c>
      <c r="W138" s="842">
        <v>0</v>
      </c>
      <c r="X138" s="985">
        <v>0.96332727272727281</v>
      </c>
    </row>
    <row r="139" spans="1:24" s="330" customFormat="1" ht="47.25">
      <c r="A139" s="838" t="s">
        <v>2469</v>
      </c>
      <c r="B139" s="840" t="s">
        <v>2336</v>
      </c>
      <c r="C139" s="842">
        <v>7099.64</v>
      </c>
      <c r="D139" s="842">
        <v>2099.64</v>
      </c>
      <c r="E139" s="842">
        <v>5000</v>
      </c>
      <c r="F139" s="842">
        <v>0</v>
      </c>
      <c r="G139" s="842">
        <v>6619.692</v>
      </c>
      <c r="H139" s="842">
        <v>0</v>
      </c>
      <c r="I139" s="842">
        <v>0</v>
      </c>
      <c r="J139" s="842">
        <v>0</v>
      </c>
      <c r="K139" s="842">
        <v>0</v>
      </c>
      <c r="L139" s="842">
        <v>6619.692</v>
      </c>
      <c r="M139" s="842">
        <v>0</v>
      </c>
      <c r="N139" s="842">
        <v>0</v>
      </c>
      <c r="O139" s="842">
        <v>0</v>
      </c>
      <c r="P139" s="842">
        <v>0</v>
      </c>
      <c r="Q139" s="842">
        <v>0</v>
      </c>
      <c r="R139" s="842">
        <v>0</v>
      </c>
      <c r="S139" s="842">
        <v>0</v>
      </c>
      <c r="T139" s="842">
        <v>0</v>
      </c>
      <c r="U139" s="842">
        <v>0</v>
      </c>
      <c r="V139" s="842">
        <v>0</v>
      </c>
      <c r="W139" s="842">
        <v>0</v>
      </c>
      <c r="X139" s="985">
        <v>0.93239826244710999</v>
      </c>
    </row>
    <row r="140" spans="1:24" s="330" customFormat="1" ht="63">
      <c r="A140" s="838" t="s">
        <v>2469</v>
      </c>
      <c r="B140" s="840" t="s">
        <v>2568</v>
      </c>
      <c r="C140" s="842">
        <v>54860.794999999998</v>
      </c>
      <c r="D140" s="842">
        <v>35700</v>
      </c>
      <c r="E140" s="842">
        <v>9960.7430000000004</v>
      </c>
      <c r="F140" s="842">
        <v>9200.0519999999997</v>
      </c>
      <c r="G140" s="842">
        <v>6449.6109999999999</v>
      </c>
      <c r="H140" s="842">
        <v>0</v>
      </c>
      <c r="I140" s="842">
        <v>0</v>
      </c>
      <c r="J140" s="842">
        <v>0</v>
      </c>
      <c r="K140" s="842">
        <v>0</v>
      </c>
      <c r="L140" s="842">
        <v>0</v>
      </c>
      <c r="M140" s="842">
        <v>0</v>
      </c>
      <c r="N140" s="842">
        <v>0</v>
      </c>
      <c r="O140" s="842">
        <v>0</v>
      </c>
      <c r="P140" s="842">
        <v>0</v>
      </c>
      <c r="Q140" s="842">
        <v>6449.6109999999999</v>
      </c>
      <c r="R140" s="842">
        <v>0</v>
      </c>
      <c r="S140" s="842">
        <v>0</v>
      </c>
      <c r="T140" s="842">
        <v>6449.6109999999999</v>
      </c>
      <c r="U140" s="842">
        <v>0</v>
      </c>
      <c r="V140" s="842">
        <v>0</v>
      </c>
      <c r="W140" s="842">
        <v>0</v>
      </c>
      <c r="X140" s="985">
        <v>0.11756320702242831</v>
      </c>
    </row>
    <row r="141" spans="1:24" s="330" customFormat="1" ht="31.5">
      <c r="A141" s="838" t="s">
        <v>2469</v>
      </c>
      <c r="B141" s="840" t="s">
        <v>2337</v>
      </c>
      <c r="C141" s="842">
        <v>101.199</v>
      </c>
      <c r="D141" s="842">
        <v>101.199</v>
      </c>
      <c r="E141" s="842">
        <v>0</v>
      </c>
      <c r="F141" s="842">
        <v>0</v>
      </c>
      <c r="G141" s="842">
        <v>101.199</v>
      </c>
      <c r="H141" s="842">
        <v>0</v>
      </c>
      <c r="I141" s="842">
        <v>0</v>
      </c>
      <c r="J141" s="842">
        <v>0</v>
      </c>
      <c r="K141" s="842">
        <v>0</v>
      </c>
      <c r="L141" s="842">
        <v>0</v>
      </c>
      <c r="M141" s="842">
        <v>0</v>
      </c>
      <c r="N141" s="842">
        <v>0</v>
      </c>
      <c r="O141" s="842">
        <v>0</v>
      </c>
      <c r="P141" s="842">
        <v>0</v>
      </c>
      <c r="Q141" s="842">
        <v>101.199</v>
      </c>
      <c r="R141" s="842">
        <v>0</v>
      </c>
      <c r="S141" s="842">
        <v>0</v>
      </c>
      <c r="T141" s="842">
        <v>101.199</v>
      </c>
      <c r="U141" s="842">
        <v>0</v>
      </c>
      <c r="V141" s="842">
        <v>0</v>
      </c>
      <c r="W141" s="842">
        <v>0</v>
      </c>
      <c r="X141" s="985">
        <v>1</v>
      </c>
    </row>
    <row r="142" spans="1:24" s="330" customFormat="1" ht="47.25">
      <c r="A142" s="838" t="s">
        <v>2469</v>
      </c>
      <c r="B142" s="840" t="s">
        <v>2338</v>
      </c>
      <c r="C142" s="842">
        <v>7632.7039999999997</v>
      </c>
      <c r="D142" s="842">
        <v>1857.704</v>
      </c>
      <c r="E142" s="842">
        <v>5775</v>
      </c>
      <c r="F142" s="842">
        <v>0</v>
      </c>
      <c r="G142" s="842">
        <v>7169.3329999999996</v>
      </c>
      <c r="H142" s="842">
        <v>7169.3329999999996</v>
      </c>
      <c r="I142" s="842">
        <v>0</v>
      </c>
      <c r="J142" s="842">
        <v>0</v>
      </c>
      <c r="K142" s="842">
        <v>0</v>
      </c>
      <c r="L142" s="842">
        <v>0</v>
      </c>
      <c r="M142" s="842">
        <v>0</v>
      </c>
      <c r="N142" s="842">
        <v>0</v>
      </c>
      <c r="O142" s="842">
        <v>0</v>
      </c>
      <c r="P142" s="842">
        <v>0</v>
      </c>
      <c r="Q142" s="842">
        <v>0</v>
      </c>
      <c r="R142" s="842">
        <v>0</v>
      </c>
      <c r="S142" s="842">
        <v>0</v>
      </c>
      <c r="T142" s="842">
        <v>0</v>
      </c>
      <c r="U142" s="842">
        <v>0</v>
      </c>
      <c r="V142" s="842">
        <v>0</v>
      </c>
      <c r="W142" s="842">
        <v>0</v>
      </c>
      <c r="X142" s="985">
        <v>0.93929137039769917</v>
      </c>
    </row>
    <row r="143" spans="1:24" s="330" customFormat="1" ht="47.25">
      <c r="A143" s="838" t="s">
        <v>2469</v>
      </c>
      <c r="B143" s="840" t="s">
        <v>2339</v>
      </c>
      <c r="C143" s="842">
        <v>4762.3230000000003</v>
      </c>
      <c r="D143" s="842">
        <v>382.32299999999998</v>
      </c>
      <c r="E143" s="842">
        <v>4380</v>
      </c>
      <c r="F143" s="842">
        <v>0</v>
      </c>
      <c r="G143" s="842">
        <v>4497.1530000000002</v>
      </c>
      <c r="H143" s="842">
        <v>4497.1530000000002</v>
      </c>
      <c r="I143" s="842">
        <v>0</v>
      </c>
      <c r="J143" s="842">
        <v>0</v>
      </c>
      <c r="K143" s="842">
        <v>0</v>
      </c>
      <c r="L143" s="842">
        <v>0</v>
      </c>
      <c r="M143" s="842">
        <v>0</v>
      </c>
      <c r="N143" s="842">
        <v>0</v>
      </c>
      <c r="O143" s="842">
        <v>0</v>
      </c>
      <c r="P143" s="842">
        <v>0</v>
      </c>
      <c r="Q143" s="842">
        <v>0</v>
      </c>
      <c r="R143" s="842">
        <v>0</v>
      </c>
      <c r="S143" s="842">
        <v>0</v>
      </c>
      <c r="T143" s="842">
        <v>0</v>
      </c>
      <c r="U143" s="842">
        <v>0</v>
      </c>
      <c r="V143" s="842">
        <v>0</v>
      </c>
      <c r="W143" s="842">
        <v>0</v>
      </c>
      <c r="X143" s="985">
        <v>0.94431919044550316</v>
      </c>
    </row>
    <row r="144" spans="1:24" s="330" customFormat="1" ht="31.5">
      <c r="A144" s="838" t="s">
        <v>2469</v>
      </c>
      <c r="B144" s="840" t="s">
        <v>2340</v>
      </c>
      <c r="C144" s="842">
        <v>1968.7550000000001</v>
      </c>
      <c r="D144" s="842">
        <v>368.755</v>
      </c>
      <c r="E144" s="842">
        <v>1600</v>
      </c>
      <c r="F144" s="842">
        <v>0</v>
      </c>
      <c r="G144" s="842">
        <v>1968.7550000000001</v>
      </c>
      <c r="H144" s="842">
        <v>1968.7550000000001</v>
      </c>
      <c r="I144" s="842">
        <v>0</v>
      </c>
      <c r="J144" s="842">
        <v>0</v>
      </c>
      <c r="K144" s="842">
        <v>0</v>
      </c>
      <c r="L144" s="842">
        <v>0</v>
      </c>
      <c r="M144" s="842">
        <v>0</v>
      </c>
      <c r="N144" s="842">
        <v>0</v>
      </c>
      <c r="O144" s="842">
        <v>0</v>
      </c>
      <c r="P144" s="842">
        <v>0</v>
      </c>
      <c r="Q144" s="842">
        <v>0</v>
      </c>
      <c r="R144" s="842">
        <v>0</v>
      </c>
      <c r="S144" s="842">
        <v>0</v>
      </c>
      <c r="T144" s="842">
        <v>0</v>
      </c>
      <c r="U144" s="842">
        <v>0</v>
      </c>
      <c r="V144" s="842">
        <v>0</v>
      </c>
      <c r="W144" s="842">
        <v>0</v>
      </c>
      <c r="X144" s="985">
        <v>1</v>
      </c>
    </row>
    <row r="145" spans="1:24" s="330" customFormat="1" ht="63">
      <c r="A145" s="838" t="s">
        <v>2469</v>
      </c>
      <c r="B145" s="840" t="s">
        <v>2285</v>
      </c>
      <c r="C145" s="842">
        <v>1129.633</v>
      </c>
      <c r="D145" s="842">
        <v>16061.771000000001</v>
      </c>
      <c r="E145" s="842">
        <v>0</v>
      </c>
      <c r="F145" s="842">
        <v>-14932.138000000001</v>
      </c>
      <c r="G145" s="842">
        <v>1129.633</v>
      </c>
      <c r="H145" s="842">
        <v>0</v>
      </c>
      <c r="I145" s="842">
        <v>0</v>
      </c>
      <c r="J145" s="842">
        <v>0</v>
      </c>
      <c r="K145" s="842">
        <v>0</v>
      </c>
      <c r="L145" s="842">
        <v>0</v>
      </c>
      <c r="M145" s="842">
        <v>0</v>
      </c>
      <c r="N145" s="842">
        <v>0</v>
      </c>
      <c r="O145" s="842">
        <v>0</v>
      </c>
      <c r="P145" s="842">
        <v>0</v>
      </c>
      <c r="Q145" s="842">
        <v>1129.633</v>
      </c>
      <c r="R145" s="842">
        <v>0</v>
      </c>
      <c r="S145" s="842">
        <v>0</v>
      </c>
      <c r="T145" s="842">
        <v>1129.633</v>
      </c>
      <c r="U145" s="842">
        <v>0</v>
      </c>
      <c r="V145" s="842">
        <v>0</v>
      </c>
      <c r="W145" s="842">
        <v>0</v>
      </c>
      <c r="X145" s="985">
        <v>1</v>
      </c>
    </row>
    <row r="146" spans="1:24" s="330" customFormat="1" ht="63">
      <c r="A146" s="838" t="s">
        <v>2469</v>
      </c>
      <c r="B146" s="840" t="s">
        <v>2341</v>
      </c>
      <c r="C146" s="842">
        <v>966.54499999999996</v>
      </c>
      <c r="D146" s="842">
        <v>1852.5450000000001</v>
      </c>
      <c r="E146" s="842">
        <v>0</v>
      </c>
      <c r="F146" s="842">
        <v>-886</v>
      </c>
      <c r="G146" s="842">
        <v>966.10699999999997</v>
      </c>
      <c r="H146" s="842">
        <v>0</v>
      </c>
      <c r="I146" s="842">
        <v>0</v>
      </c>
      <c r="J146" s="842">
        <v>0</v>
      </c>
      <c r="K146" s="842">
        <v>0</v>
      </c>
      <c r="L146" s="842">
        <v>0</v>
      </c>
      <c r="M146" s="842">
        <v>0</v>
      </c>
      <c r="N146" s="842">
        <v>0</v>
      </c>
      <c r="O146" s="842">
        <v>0</v>
      </c>
      <c r="P146" s="842">
        <v>0</v>
      </c>
      <c r="Q146" s="842">
        <v>966.10699999999997</v>
      </c>
      <c r="R146" s="842">
        <v>0</v>
      </c>
      <c r="S146" s="842">
        <v>966.10699999999997</v>
      </c>
      <c r="T146" s="842">
        <v>0</v>
      </c>
      <c r="U146" s="842">
        <v>0</v>
      </c>
      <c r="V146" s="842">
        <v>0</v>
      </c>
      <c r="W146" s="842">
        <v>0</v>
      </c>
      <c r="X146" s="985">
        <v>0.99954683951600809</v>
      </c>
    </row>
    <row r="147" spans="1:24" s="330" customFormat="1" ht="31.5">
      <c r="A147" s="838" t="s">
        <v>2469</v>
      </c>
      <c r="B147" s="840" t="s">
        <v>2569</v>
      </c>
      <c r="C147" s="842">
        <v>284.19400000000002</v>
      </c>
      <c r="D147" s="842">
        <v>284.19400000000002</v>
      </c>
      <c r="E147" s="842">
        <v>0</v>
      </c>
      <c r="F147" s="842">
        <v>0</v>
      </c>
      <c r="G147" s="842">
        <v>206.458</v>
      </c>
      <c r="H147" s="842">
        <v>0</v>
      </c>
      <c r="I147" s="842">
        <v>0</v>
      </c>
      <c r="J147" s="842">
        <v>0</v>
      </c>
      <c r="K147" s="842">
        <v>0</v>
      </c>
      <c r="L147" s="842">
        <v>0</v>
      </c>
      <c r="M147" s="842">
        <v>0</v>
      </c>
      <c r="N147" s="842">
        <v>0</v>
      </c>
      <c r="O147" s="842">
        <v>0</v>
      </c>
      <c r="P147" s="842">
        <v>0</v>
      </c>
      <c r="Q147" s="842">
        <v>206.458</v>
      </c>
      <c r="R147" s="842">
        <v>0</v>
      </c>
      <c r="S147" s="842">
        <v>0</v>
      </c>
      <c r="T147" s="842">
        <v>206.458</v>
      </c>
      <c r="U147" s="842">
        <v>0</v>
      </c>
      <c r="V147" s="842">
        <v>0</v>
      </c>
      <c r="W147" s="842">
        <v>0</v>
      </c>
      <c r="X147" s="985">
        <v>0.72646853909653264</v>
      </c>
    </row>
    <row r="148" spans="1:24" s="330" customFormat="1" ht="31.5">
      <c r="A148" s="838" t="s">
        <v>2469</v>
      </c>
      <c r="B148" s="840" t="s">
        <v>2342</v>
      </c>
      <c r="C148" s="842">
        <v>344</v>
      </c>
      <c r="D148" s="842">
        <v>0</v>
      </c>
      <c r="E148" s="842">
        <v>344</v>
      </c>
      <c r="F148" s="842">
        <v>0</v>
      </c>
      <c r="G148" s="842">
        <v>344</v>
      </c>
      <c r="H148" s="842">
        <v>344</v>
      </c>
      <c r="I148" s="842">
        <v>0</v>
      </c>
      <c r="J148" s="842">
        <v>0</v>
      </c>
      <c r="K148" s="842">
        <v>0</v>
      </c>
      <c r="L148" s="842">
        <v>0</v>
      </c>
      <c r="M148" s="842">
        <v>0</v>
      </c>
      <c r="N148" s="842">
        <v>0</v>
      </c>
      <c r="O148" s="842">
        <v>0</v>
      </c>
      <c r="P148" s="842">
        <v>0</v>
      </c>
      <c r="Q148" s="842">
        <v>0</v>
      </c>
      <c r="R148" s="842">
        <v>0</v>
      </c>
      <c r="S148" s="842">
        <v>0</v>
      </c>
      <c r="T148" s="842">
        <v>0</v>
      </c>
      <c r="U148" s="842">
        <v>0</v>
      </c>
      <c r="V148" s="842">
        <v>0</v>
      </c>
      <c r="W148" s="842">
        <v>0</v>
      </c>
      <c r="X148" s="985">
        <v>1</v>
      </c>
    </row>
    <row r="149" spans="1:24" s="330" customFormat="1" ht="47.25">
      <c r="A149" s="838" t="s">
        <v>2469</v>
      </c>
      <c r="B149" s="840" t="s">
        <v>2343</v>
      </c>
      <c r="C149" s="842">
        <v>2348.8029999999999</v>
      </c>
      <c r="D149" s="842">
        <v>80</v>
      </c>
      <c r="E149" s="842">
        <v>2268.8029999999999</v>
      </c>
      <c r="F149" s="842">
        <v>0</v>
      </c>
      <c r="G149" s="842">
        <v>2348.2130000000002</v>
      </c>
      <c r="H149" s="842">
        <v>2348.2130000000002</v>
      </c>
      <c r="I149" s="842">
        <v>0</v>
      </c>
      <c r="J149" s="842">
        <v>0</v>
      </c>
      <c r="K149" s="842">
        <v>0</v>
      </c>
      <c r="L149" s="842">
        <v>0</v>
      </c>
      <c r="M149" s="842">
        <v>0</v>
      </c>
      <c r="N149" s="842">
        <v>0</v>
      </c>
      <c r="O149" s="842">
        <v>0</v>
      </c>
      <c r="P149" s="842">
        <v>0</v>
      </c>
      <c r="Q149" s="842">
        <v>0</v>
      </c>
      <c r="R149" s="842">
        <v>0</v>
      </c>
      <c r="S149" s="842">
        <v>0</v>
      </c>
      <c r="T149" s="842">
        <v>0</v>
      </c>
      <c r="U149" s="842">
        <v>0</v>
      </c>
      <c r="V149" s="842">
        <v>0</v>
      </c>
      <c r="W149" s="842">
        <v>0</v>
      </c>
      <c r="X149" s="985">
        <v>0.9997488082227417</v>
      </c>
    </row>
    <row r="150" spans="1:24" s="330" customFormat="1" ht="31.5">
      <c r="A150" s="838" t="s">
        <v>2469</v>
      </c>
      <c r="B150" s="840" t="s">
        <v>2570</v>
      </c>
      <c r="C150" s="842">
        <v>2100</v>
      </c>
      <c r="D150" s="842">
        <v>0</v>
      </c>
      <c r="E150" s="842">
        <v>0</v>
      </c>
      <c r="F150" s="842">
        <v>2100</v>
      </c>
      <c r="G150" s="842">
        <v>965.18200000000002</v>
      </c>
      <c r="H150" s="842">
        <v>0</v>
      </c>
      <c r="I150" s="842">
        <v>0</v>
      </c>
      <c r="J150" s="842">
        <v>0</v>
      </c>
      <c r="K150" s="842">
        <v>0</v>
      </c>
      <c r="L150" s="842">
        <v>0</v>
      </c>
      <c r="M150" s="842">
        <v>0</v>
      </c>
      <c r="N150" s="842">
        <v>0</v>
      </c>
      <c r="O150" s="842">
        <v>0</v>
      </c>
      <c r="P150" s="842">
        <v>0</v>
      </c>
      <c r="Q150" s="842">
        <v>965.18200000000002</v>
      </c>
      <c r="R150" s="842">
        <v>0</v>
      </c>
      <c r="S150" s="842">
        <v>0</v>
      </c>
      <c r="T150" s="842">
        <v>965.18200000000002</v>
      </c>
      <c r="U150" s="842">
        <v>0</v>
      </c>
      <c r="V150" s="842">
        <v>0</v>
      </c>
      <c r="W150" s="842">
        <v>0</v>
      </c>
      <c r="X150" s="985">
        <v>0.45961047619047618</v>
      </c>
    </row>
    <row r="151" spans="1:24" s="330" customFormat="1" ht="63">
      <c r="A151" s="838" t="s">
        <v>2469</v>
      </c>
      <c r="B151" s="840" t="s">
        <v>2571</v>
      </c>
      <c r="C151" s="842">
        <v>2500</v>
      </c>
      <c r="D151" s="842">
        <v>0</v>
      </c>
      <c r="E151" s="842">
        <v>0</v>
      </c>
      <c r="F151" s="842">
        <v>2500</v>
      </c>
      <c r="G151" s="842">
        <v>2422.4499999999998</v>
      </c>
      <c r="H151" s="842">
        <v>0</v>
      </c>
      <c r="I151" s="842">
        <v>0</v>
      </c>
      <c r="J151" s="842">
        <v>0</v>
      </c>
      <c r="K151" s="842">
        <v>0</v>
      </c>
      <c r="L151" s="842">
        <v>0</v>
      </c>
      <c r="M151" s="842">
        <v>0</v>
      </c>
      <c r="N151" s="842">
        <v>0</v>
      </c>
      <c r="O151" s="842">
        <v>0</v>
      </c>
      <c r="P151" s="842">
        <v>0</v>
      </c>
      <c r="Q151" s="842">
        <v>2422.4499999999998</v>
      </c>
      <c r="R151" s="842">
        <v>2422.4499999999998</v>
      </c>
      <c r="S151" s="842">
        <v>0</v>
      </c>
      <c r="T151" s="842">
        <v>0</v>
      </c>
      <c r="U151" s="842">
        <v>0</v>
      </c>
      <c r="V151" s="842">
        <v>0</v>
      </c>
      <c r="W151" s="842">
        <v>0</v>
      </c>
      <c r="X151" s="985">
        <v>0.96897999999999995</v>
      </c>
    </row>
    <row r="152" spans="1:24" s="330" customFormat="1" ht="31.5">
      <c r="A152" s="838" t="s">
        <v>2469</v>
      </c>
      <c r="B152" s="840" t="s">
        <v>2344</v>
      </c>
      <c r="C152" s="842">
        <v>768</v>
      </c>
      <c r="D152" s="842">
        <v>768</v>
      </c>
      <c r="E152" s="842">
        <v>0</v>
      </c>
      <c r="F152" s="842">
        <v>0</v>
      </c>
      <c r="G152" s="842">
        <v>768</v>
      </c>
      <c r="H152" s="842">
        <v>0</v>
      </c>
      <c r="I152" s="842">
        <v>0</v>
      </c>
      <c r="J152" s="842">
        <v>0</v>
      </c>
      <c r="K152" s="842">
        <v>0</v>
      </c>
      <c r="L152" s="842">
        <v>0</v>
      </c>
      <c r="M152" s="842">
        <v>0</v>
      </c>
      <c r="N152" s="842">
        <v>0</v>
      </c>
      <c r="O152" s="842">
        <v>0</v>
      </c>
      <c r="P152" s="842">
        <v>0</v>
      </c>
      <c r="Q152" s="842">
        <v>768</v>
      </c>
      <c r="R152" s="842">
        <v>0</v>
      </c>
      <c r="S152" s="842">
        <v>0</v>
      </c>
      <c r="T152" s="842">
        <v>768</v>
      </c>
      <c r="U152" s="842">
        <v>0</v>
      </c>
      <c r="V152" s="842">
        <v>0</v>
      </c>
      <c r="W152" s="842">
        <v>0</v>
      </c>
      <c r="X152" s="985">
        <v>1</v>
      </c>
    </row>
    <row r="153" spans="1:24" s="330" customFormat="1" ht="47.25">
      <c r="A153" s="838" t="s">
        <v>2469</v>
      </c>
      <c r="B153" s="840" t="s">
        <v>2345</v>
      </c>
      <c r="C153" s="842">
        <v>3854.6345999999999</v>
      </c>
      <c r="D153" s="842">
        <v>2354.6345999999999</v>
      </c>
      <c r="E153" s="842">
        <v>0</v>
      </c>
      <c r="F153" s="842">
        <v>1500</v>
      </c>
      <c r="G153" s="842">
        <v>3854.6345999999999</v>
      </c>
      <c r="H153" s="842">
        <v>0</v>
      </c>
      <c r="I153" s="842">
        <v>0</v>
      </c>
      <c r="J153" s="842">
        <v>0</v>
      </c>
      <c r="K153" s="842">
        <v>0</v>
      </c>
      <c r="L153" s="842">
        <v>0</v>
      </c>
      <c r="M153" s="842">
        <v>0</v>
      </c>
      <c r="N153" s="842">
        <v>0</v>
      </c>
      <c r="O153" s="842">
        <v>0</v>
      </c>
      <c r="P153" s="842">
        <v>0</v>
      </c>
      <c r="Q153" s="842">
        <v>3854.6345999999999</v>
      </c>
      <c r="R153" s="842">
        <v>0</v>
      </c>
      <c r="S153" s="842">
        <v>0</v>
      </c>
      <c r="T153" s="842">
        <v>3854.6345999999999</v>
      </c>
      <c r="U153" s="842">
        <v>0</v>
      </c>
      <c r="V153" s="842">
        <v>0</v>
      </c>
      <c r="W153" s="842">
        <v>0</v>
      </c>
      <c r="X153" s="985">
        <v>1</v>
      </c>
    </row>
    <row r="154" spans="1:24" s="330" customFormat="1" ht="31.5">
      <c r="A154" s="838" t="s">
        <v>2469</v>
      </c>
      <c r="B154" s="840" t="s">
        <v>2346</v>
      </c>
      <c r="C154" s="842">
        <v>1300</v>
      </c>
      <c r="D154" s="842">
        <v>0</v>
      </c>
      <c r="E154" s="842">
        <v>1300</v>
      </c>
      <c r="F154" s="842">
        <v>0</v>
      </c>
      <c r="G154" s="842">
        <v>1300</v>
      </c>
      <c r="H154" s="842">
        <v>1300</v>
      </c>
      <c r="I154" s="842">
        <v>0</v>
      </c>
      <c r="J154" s="842">
        <v>0</v>
      </c>
      <c r="K154" s="842">
        <v>0</v>
      </c>
      <c r="L154" s="842">
        <v>0</v>
      </c>
      <c r="M154" s="842">
        <v>0</v>
      </c>
      <c r="N154" s="842">
        <v>0</v>
      </c>
      <c r="O154" s="842">
        <v>0</v>
      </c>
      <c r="P154" s="842">
        <v>0</v>
      </c>
      <c r="Q154" s="842">
        <v>0</v>
      </c>
      <c r="R154" s="842">
        <v>0</v>
      </c>
      <c r="S154" s="842">
        <v>0</v>
      </c>
      <c r="T154" s="842">
        <v>0</v>
      </c>
      <c r="U154" s="842">
        <v>0</v>
      </c>
      <c r="V154" s="842">
        <v>0</v>
      </c>
      <c r="W154" s="842">
        <v>0</v>
      </c>
      <c r="X154" s="985">
        <v>1</v>
      </c>
    </row>
    <row r="155" spans="1:24" s="330" customFormat="1" ht="31.5">
      <c r="A155" s="838" t="s">
        <v>2469</v>
      </c>
      <c r="B155" s="840" t="s">
        <v>2347</v>
      </c>
      <c r="C155" s="842">
        <v>2825.174</v>
      </c>
      <c r="D155" s="842">
        <v>625.17399999999998</v>
      </c>
      <c r="E155" s="842">
        <v>2200</v>
      </c>
      <c r="F155" s="842">
        <v>0</v>
      </c>
      <c r="G155" s="842">
        <v>2825.174</v>
      </c>
      <c r="H155" s="842">
        <v>2825.174</v>
      </c>
      <c r="I155" s="842">
        <v>0</v>
      </c>
      <c r="J155" s="842">
        <v>0</v>
      </c>
      <c r="K155" s="842">
        <v>0</v>
      </c>
      <c r="L155" s="842">
        <v>0</v>
      </c>
      <c r="M155" s="842">
        <v>0</v>
      </c>
      <c r="N155" s="842">
        <v>0</v>
      </c>
      <c r="O155" s="842">
        <v>0</v>
      </c>
      <c r="P155" s="842">
        <v>0</v>
      </c>
      <c r="Q155" s="842">
        <v>0</v>
      </c>
      <c r="R155" s="842">
        <v>0</v>
      </c>
      <c r="S155" s="842">
        <v>0</v>
      </c>
      <c r="T155" s="842">
        <v>0</v>
      </c>
      <c r="U155" s="842">
        <v>0</v>
      </c>
      <c r="V155" s="842">
        <v>0</v>
      </c>
      <c r="W155" s="842">
        <v>0</v>
      </c>
      <c r="X155" s="985">
        <v>1</v>
      </c>
    </row>
    <row r="156" spans="1:24" s="330" customFormat="1" ht="47.25">
      <c r="A156" s="838" t="s">
        <v>2469</v>
      </c>
      <c r="B156" s="840" t="s">
        <v>2348</v>
      </c>
      <c r="C156" s="842">
        <v>3700</v>
      </c>
      <c r="D156" s="842">
        <v>0</v>
      </c>
      <c r="E156" s="842">
        <v>3700</v>
      </c>
      <c r="F156" s="842">
        <v>0</v>
      </c>
      <c r="G156" s="842">
        <v>3505.55</v>
      </c>
      <c r="H156" s="842">
        <v>3505.55</v>
      </c>
      <c r="I156" s="842">
        <v>0</v>
      </c>
      <c r="J156" s="842">
        <v>0</v>
      </c>
      <c r="K156" s="842">
        <v>0</v>
      </c>
      <c r="L156" s="842">
        <v>0</v>
      </c>
      <c r="M156" s="842">
        <v>0</v>
      </c>
      <c r="N156" s="842">
        <v>0</v>
      </c>
      <c r="O156" s="842">
        <v>0</v>
      </c>
      <c r="P156" s="842">
        <v>0</v>
      </c>
      <c r="Q156" s="842">
        <v>0</v>
      </c>
      <c r="R156" s="842">
        <v>0</v>
      </c>
      <c r="S156" s="842">
        <v>0</v>
      </c>
      <c r="T156" s="842">
        <v>0</v>
      </c>
      <c r="U156" s="842">
        <v>0</v>
      </c>
      <c r="V156" s="842">
        <v>0</v>
      </c>
      <c r="W156" s="842">
        <v>0</v>
      </c>
      <c r="X156" s="985">
        <v>0.947445945945946</v>
      </c>
    </row>
    <row r="157" spans="1:24" s="330" customFormat="1" ht="47.25">
      <c r="A157" s="838" t="s">
        <v>2469</v>
      </c>
      <c r="B157" s="840" t="s">
        <v>2572</v>
      </c>
      <c r="C157" s="842">
        <v>6057.8680000000004</v>
      </c>
      <c r="D157" s="842">
        <v>1057.8679999999999</v>
      </c>
      <c r="E157" s="842">
        <v>5000</v>
      </c>
      <c r="F157" s="842">
        <v>0</v>
      </c>
      <c r="G157" s="842">
        <v>5948.6350000000002</v>
      </c>
      <c r="H157" s="842">
        <v>0</v>
      </c>
      <c r="I157" s="842">
        <v>0</v>
      </c>
      <c r="J157" s="842">
        <v>0</v>
      </c>
      <c r="K157" s="842">
        <v>0</v>
      </c>
      <c r="L157" s="842">
        <v>0</v>
      </c>
      <c r="M157" s="842">
        <v>0</v>
      </c>
      <c r="N157" s="842">
        <v>0</v>
      </c>
      <c r="O157" s="842">
        <v>0</v>
      </c>
      <c r="P157" s="842">
        <v>0</v>
      </c>
      <c r="Q157" s="842">
        <v>5948.6350000000002</v>
      </c>
      <c r="R157" s="842">
        <v>0</v>
      </c>
      <c r="S157" s="842">
        <v>0</v>
      </c>
      <c r="T157" s="842">
        <v>5948.6350000000002</v>
      </c>
      <c r="U157" s="842">
        <v>0</v>
      </c>
      <c r="V157" s="842">
        <v>0</v>
      </c>
      <c r="W157" s="842">
        <v>0</v>
      </c>
      <c r="X157" s="985">
        <v>0.98196840868767687</v>
      </c>
    </row>
    <row r="158" spans="1:24" s="330" customFormat="1" ht="31.5">
      <c r="A158" s="838" t="s">
        <v>2469</v>
      </c>
      <c r="B158" s="840" t="s">
        <v>2349</v>
      </c>
      <c r="C158" s="842">
        <v>650</v>
      </c>
      <c r="D158" s="842">
        <v>50</v>
      </c>
      <c r="E158" s="842">
        <v>600</v>
      </c>
      <c r="F158" s="842">
        <v>0</v>
      </c>
      <c r="G158" s="842">
        <v>642.23699999999997</v>
      </c>
      <c r="H158" s="842">
        <v>642.23699999999997</v>
      </c>
      <c r="I158" s="842">
        <v>0</v>
      </c>
      <c r="J158" s="842">
        <v>0</v>
      </c>
      <c r="K158" s="842">
        <v>0</v>
      </c>
      <c r="L158" s="842">
        <v>0</v>
      </c>
      <c r="M158" s="842">
        <v>0</v>
      </c>
      <c r="N158" s="842">
        <v>0</v>
      </c>
      <c r="O158" s="842">
        <v>0</v>
      </c>
      <c r="P158" s="842">
        <v>0</v>
      </c>
      <c r="Q158" s="842">
        <v>0</v>
      </c>
      <c r="R158" s="842">
        <v>0</v>
      </c>
      <c r="S158" s="842">
        <v>0</v>
      </c>
      <c r="T158" s="842">
        <v>0</v>
      </c>
      <c r="U158" s="842">
        <v>0</v>
      </c>
      <c r="V158" s="842">
        <v>0</v>
      </c>
      <c r="W158" s="842">
        <v>0</v>
      </c>
      <c r="X158" s="985">
        <v>0.98805692307692305</v>
      </c>
    </row>
    <row r="159" spans="1:24" s="330" customFormat="1">
      <c r="A159" s="838" t="s">
        <v>2469</v>
      </c>
      <c r="B159" s="840" t="s">
        <v>2350</v>
      </c>
      <c r="C159" s="842">
        <v>3821.4490999999998</v>
      </c>
      <c r="D159" s="842">
        <v>1571.4491</v>
      </c>
      <c r="E159" s="842">
        <v>2500</v>
      </c>
      <c r="F159" s="842">
        <v>-250</v>
      </c>
      <c r="G159" s="842">
        <v>3821.4490999999998</v>
      </c>
      <c r="H159" s="842">
        <v>3821.4490999999998</v>
      </c>
      <c r="I159" s="842">
        <v>0</v>
      </c>
      <c r="J159" s="842">
        <v>0</v>
      </c>
      <c r="K159" s="842">
        <v>0</v>
      </c>
      <c r="L159" s="842">
        <v>0</v>
      </c>
      <c r="M159" s="842">
        <v>0</v>
      </c>
      <c r="N159" s="842">
        <v>0</v>
      </c>
      <c r="O159" s="842">
        <v>0</v>
      </c>
      <c r="P159" s="842">
        <v>0</v>
      </c>
      <c r="Q159" s="842">
        <v>0</v>
      </c>
      <c r="R159" s="842">
        <v>0</v>
      </c>
      <c r="S159" s="842">
        <v>0</v>
      </c>
      <c r="T159" s="842">
        <v>0</v>
      </c>
      <c r="U159" s="842">
        <v>0</v>
      </c>
      <c r="V159" s="842">
        <v>0</v>
      </c>
      <c r="W159" s="842">
        <v>0</v>
      </c>
      <c r="X159" s="985">
        <v>1</v>
      </c>
    </row>
    <row r="160" spans="1:24" s="330" customFormat="1" ht="47.25">
      <c r="A160" s="838" t="s">
        <v>2469</v>
      </c>
      <c r="B160" s="840" t="s">
        <v>2351</v>
      </c>
      <c r="C160" s="842">
        <v>3500</v>
      </c>
      <c r="D160" s="842">
        <v>1500</v>
      </c>
      <c r="E160" s="842">
        <v>0</v>
      </c>
      <c r="F160" s="842">
        <v>2000</v>
      </c>
      <c r="G160" s="842">
        <v>1507.4349999999999</v>
      </c>
      <c r="H160" s="842">
        <v>0</v>
      </c>
      <c r="I160" s="842">
        <v>0</v>
      </c>
      <c r="J160" s="842">
        <v>0</v>
      </c>
      <c r="K160" s="842">
        <v>0</v>
      </c>
      <c r="L160" s="842">
        <v>0</v>
      </c>
      <c r="M160" s="842">
        <v>0</v>
      </c>
      <c r="N160" s="842">
        <v>0</v>
      </c>
      <c r="O160" s="842">
        <v>0</v>
      </c>
      <c r="P160" s="842">
        <v>0</v>
      </c>
      <c r="Q160" s="842">
        <v>1507.4349999999999</v>
      </c>
      <c r="R160" s="842">
        <v>0</v>
      </c>
      <c r="S160" s="842">
        <v>0</v>
      </c>
      <c r="T160" s="842">
        <v>1507.4349999999999</v>
      </c>
      <c r="U160" s="842">
        <v>0</v>
      </c>
      <c r="V160" s="842">
        <v>0</v>
      </c>
      <c r="W160" s="842">
        <v>0</v>
      </c>
      <c r="X160" s="985">
        <v>0.43069571428571429</v>
      </c>
    </row>
    <row r="161" spans="1:24" s="330" customFormat="1" ht="47.25">
      <c r="A161" s="838" t="s">
        <v>2469</v>
      </c>
      <c r="B161" s="840" t="s">
        <v>2352</v>
      </c>
      <c r="C161" s="842">
        <v>1212.69</v>
      </c>
      <c r="D161" s="842">
        <v>12.69</v>
      </c>
      <c r="E161" s="842">
        <v>1200</v>
      </c>
      <c r="F161" s="842">
        <v>0</v>
      </c>
      <c r="G161" s="842">
        <v>1165.0319999999999</v>
      </c>
      <c r="H161" s="842">
        <v>1165.0319999999999</v>
      </c>
      <c r="I161" s="842">
        <v>0</v>
      </c>
      <c r="J161" s="842">
        <v>0</v>
      </c>
      <c r="K161" s="842">
        <v>0</v>
      </c>
      <c r="L161" s="842">
        <v>0</v>
      </c>
      <c r="M161" s="842">
        <v>0</v>
      </c>
      <c r="N161" s="842">
        <v>0</v>
      </c>
      <c r="O161" s="842">
        <v>0</v>
      </c>
      <c r="P161" s="842">
        <v>0</v>
      </c>
      <c r="Q161" s="842">
        <v>0</v>
      </c>
      <c r="R161" s="842">
        <v>0</v>
      </c>
      <c r="S161" s="842">
        <v>0</v>
      </c>
      <c r="T161" s="842">
        <v>0</v>
      </c>
      <c r="U161" s="842">
        <v>0</v>
      </c>
      <c r="V161" s="842">
        <v>0</v>
      </c>
      <c r="W161" s="842">
        <v>0</v>
      </c>
      <c r="X161" s="985">
        <v>0.96070059124755702</v>
      </c>
    </row>
    <row r="162" spans="1:24" s="330" customFormat="1" ht="47.25">
      <c r="A162" s="838" t="s">
        <v>2469</v>
      </c>
      <c r="B162" s="840" t="s">
        <v>2353</v>
      </c>
      <c r="C162" s="842">
        <v>1398.7539999999999</v>
      </c>
      <c r="D162" s="842">
        <v>98.754000000000005</v>
      </c>
      <c r="E162" s="842">
        <v>1300</v>
      </c>
      <c r="F162" s="842">
        <v>0</v>
      </c>
      <c r="G162" s="842">
        <v>1332.135</v>
      </c>
      <c r="H162" s="842">
        <v>1332.135</v>
      </c>
      <c r="I162" s="842">
        <v>0</v>
      </c>
      <c r="J162" s="842">
        <v>0</v>
      </c>
      <c r="K162" s="842">
        <v>0</v>
      </c>
      <c r="L162" s="842">
        <v>0</v>
      </c>
      <c r="M162" s="842">
        <v>0</v>
      </c>
      <c r="N162" s="842">
        <v>0</v>
      </c>
      <c r="O162" s="842">
        <v>0</v>
      </c>
      <c r="P162" s="842">
        <v>0</v>
      </c>
      <c r="Q162" s="842">
        <v>0</v>
      </c>
      <c r="R162" s="842">
        <v>0</v>
      </c>
      <c r="S162" s="842">
        <v>0</v>
      </c>
      <c r="T162" s="842">
        <v>0</v>
      </c>
      <c r="U162" s="842">
        <v>0</v>
      </c>
      <c r="V162" s="842">
        <v>0</v>
      </c>
      <c r="W162" s="842">
        <v>0</v>
      </c>
      <c r="X162" s="985">
        <v>0.95237261162434572</v>
      </c>
    </row>
    <row r="163" spans="1:24" s="330" customFormat="1" ht="47.25">
      <c r="A163" s="838" t="s">
        <v>2469</v>
      </c>
      <c r="B163" s="840" t="s">
        <v>2354</v>
      </c>
      <c r="C163" s="842">
        <v>5785.2219999999998</v>
      </c>
      <c r="D163" s="842">
        <v>1645.222</v>
      </c>
      <c r="E163" s="842">
        <v>4140</v>
      </c>
      <c r="F163" s="842">
        <v>0</v>
      </c>
      <c r="G163" s="842">
        <v>5785.2219999999998</v>
      </c>
      <c r="H163" s="842">
        <v>0</v>
      </c>
      <c r="I163" s="842">
        <v>0</v>
      </c>
      <c r="J163" s="842">
        <v>0</v>
      </c>
      <c r="K163" s="842">
        <v>0</v>
      </c>
      <c r="L163" s="842">
        <v>0</v>
      </c>
      <c r="M163" s="842">
        <v>0</v>
      </c>
      <c r="N163" s="842">
        <v>0</v>
      </c>
      <c r="O163" s="842">
        <v>0</v>
      </c>
      <c r="P163" s="842">
        <v>0</v>
      </c>
      <c r="Q163" s="842">
        <v>5785.2219999999998</v>
      </c>
      <c r="R163" s="842">
        <v>0</v>
      </c>
      <c r="S163" s="842">
        <v>0</v>
      </c>
      <c r="T163" s="842">
        <v>5785.2219999999998</v>
      </c>
      <c r="U163" s="842">
        <v>0</v>
      </c>
      <c r="V163" s="842">
        <v>0</v>
      </c>
      <c r="W163" s="842">
        <v>0</v>
      </c>
      <c r="X163" s="985">
        <v>1</v>
      </c>
    </row>
    <row r="164" spans="1:24" s="330" customFormat="1" ht="63">
      <c r="A164" s="838" t="s">
        <v>2469</v>
      </c>
      <c r="B164" s="840" t="s">
        <v>2355</v>
      </c>
      <c r="C164" s="842">
        <v>6352.7539999999999</v>
      </c>
      <c r="D164" s="842">
        <v>6352.7539999999999</v>
      </c>
      <c r="E164" s="842">
        <v>0</v>
      </c>
      <c r="F164" s="842">
        <v>0</v>
      </c>
      <c r="G164" s="842">
        <v>6352.7539999999999</v>
      </c>
      <c r="H164" s="842">
        <v>0</v>
      </c>
      <c r="I164" s="842">
        <v>0</v>
      </c>
      <c r="J164" s="842">
        <v>0</v>
      </c>
      <c r="K164" s="842">
        <v>0</v>
      </c>
      <c r="L164" s="842">
        <v>0</v>
      </c>
      <c r="M164" s="842">
        <v>0</v>
      </c>
      <c r="N164" s="842">
        <v>6352.7539999999999</v>
      </c>
      <c r="O164" s="842">
        <v>0</v>
      </c>
      <c r="P164" s="842">
        <v>0</v>
      </c>
      <c r="Q164" s="842">
        <v>0</v>
      </c>
      <c r="R164" s="842">
        <v>0</v>
      </c>
      <c r="S164" s="842">
        <v>0</v>
      </c>
      <c r="T164" s="842">
        <v>0</v>
      </c>
      <c r="U164" s="842">
        <v>0</v>
      </c>
      <c r="V164" s="842">
        <v>0</v>
      </c>
      <c r="W164" s="842">
        <v>0</v>
      </c>
      <c r="X164" s="985">
        <v>1</v>
      </c>
    </row>
    <row r="165" spans="1:24" s="330" customFormat="1" ht="47.25">
      <c r="A165" s="838" t="s">
        <v>2469</v>
      </c>
      <c r="B165" s="840" t="s">
        <v>2356</v>
      </c>
      <c r="C165" s="842">
        <v>1435.5070000000001</v>
      </c>
      <c r="D165" s="842">
        <v>135.50700000000001</v>
      </c>
      <c r="E165" s="842">
        <v>1300</v>
      </c>
      <c r="F165" s="842">
        <v>0</v>
      </c>
      <c r="G165" s="842">
        <v>1390.1410000000001</v>
      </c>
      <c r="H165" s="842">
        <v>1390.1410000000001</v>
      </c>
      <c r="I165" s="842">
        <v>0</v>
      </c>
      <c r="J165" s="842">
        <v>0</v>
      </c>
      <c r="K165" s="842">
        <v>0</v>
      </c>
      <c r="L165" s="842">
        <v>0</v>
      </c>
      <c r="M165" s="842">
        <v>0</v>
      </c>
      <c r="N165" s="842">
        <v>0</v>
      </c>
      <c r="O165" s="842">
        <v>0</v>
      </c>
      <c r="P165" s="842">
        <v>0</v>
      </c>
      <c r="Q165" s="842">
        <v>0</v>
      </c>
      <c r="R165" s="842">
        <v>0</v>
      </c>
      <c r="S165" s="842">
        <v>0</v>
      </c>
      <c r="T165" s="842">
        <v>0</v>
      </c>
      <c r="U165" s="842">
        <v>0</v>
      </c>
      <c r="V165" s="842">
        <v>0</v>
      </c>
      <c r="W165" s="842">
        <v>0</v>
      </c>
      <c r="X165" s="985">
        <v>0.96839722829634411</v>
      </c>
    </row>
    <row r="166" spans="1:24" s="330" customFormat="1" ht="78.75">
      <c r="A166" s="838" t="s">
        <v>2469</v>
      </c>
      <c r="B166" s="840" t="s">
        <v>2357</v>
      </c>
      <c r="C166" s="842">
        <v>1744.6959999999999</v>
      </c>
      <c r="D166" s="842">
        <v>496.03825000000001</v>
      </c>
      <c r="E166" s="842">
        <v>619.65599999999995</v>
      </c>
      <c r="F166" s="842">
        <v>629.00175000000002</v>
      </c>
      <c r="G166" s="842">
        <v>1115.69425</v>
      </c>
      <c r="H166" s="842">
        <v>0</v>
      </c>
      <c r="I166" s="842">
        <v>0</v>
      </c>
      <c r="J166" s="842">
        <v>0</v>
      </c>
      <c r="K166" s="842">
        <v>0</v>
      </c>
      <c r="L166" s="842">
        <v>1115.69425</v>
      </c>
      <c r="M166" s="842">
        <v>0</v>
      </c>
      <c r="N166" s="842">
        <v>0</v>
      </c>
      <c r="O166" s="842">
        <v>0</v>
      </c>
      <c r="P166" s="842">
        <v>0</v>
      </c>
      <c r="Q166" s="842">
        <v>0</v>
      </c>
      <c r="R166" s="842">
        <v>0</v>
      </c>
      <c r="S166" s="842">
        <v>0</v>
      </c>
      <c r="T166" s="842">
        <v>0</v>
      </c>
      <c r="U166" s="842">
        <v>0</v>
      </c>
      <c r="V166" s="842">
        <v>0</v>
      </c>
      <c r="W166" s="842">
        <v>0</v>
      </c>
      <c r="X166" s="985">
        <v>0.63947773709574618</v>
      </c>
    </row>
    <row r="167" spans="1:24" s="330" customFormat="1" ht="31.5">
      <c r="A167" s="838" t="s">
        <v>2469</v>
      </c>
      <c r="B167" s="840" t="s">
        <v>2573</v>
      </c>
      <c r="C167" s="842">
        <v>11152.593000000001</v>
      </c>
      <c r="D167" s="842">
        <v>2652.5929999999998</v>
      </c>
      <c r="E167" s="842">
        <v>8500</v>
      </c>
      <c r="F167" s="842">
        <v>0</v>
      </c>
      <c r="G167" s="842">
        <v>10869.03693</v>
      </c>
      <c r="H167" s="842">
        <v>0</v>
      </c>
      <c r="I167" s="842">
        <v>0</v>
      </c>
      <c r="J167" s="842">
        <v>0</v>
      </c>
      <c r="K167" s="842">
        <v>0</v>
      </c>
      <c r="L167" s="842">
        <v>0</v>
      </c>
      <c r="M167" s="842">
        <v>0</v>
      </c>
      <c r="N167" s="842">
        <v>0</v>
      </c>
      <c r="O167" s="842">
        <v>0</v>
      </c>
      <c r="P167" s="842">
        <v>0</v>
      </c>
      <c r="Q167" s="842">
        <v>10869.03693</v>
      </c>
      <c r="R167" s="842">
        <v>0</v>
      </c>
      <c r="S167" s="842">
        <v>0</v>
      </c>
      <c r="T167" s="842">
        <v>10869.03693</v>
      </c>
      <c r="U167" s="842">
        <v>0</v>
      </c>
      <c r="V167" s="842">
        <v>0</v>
      </c>
      <c r="W167" s="842">
        <v>0</v>
      </c>
      <c r="X167" s="985">
        <v>0.97457487509855323</v>
      </c>
    </row>
    <row r="168" spans="1:24" s="330" customFormat="1" ht="31.5">
      <c r="A168" s="838" t="s">
        <v>2469</v>
      </c>
      <c r="B168" s="840" t="s">
        <v>2358</v>
      </c>
      <c r="C168" s="842">
        <v>10400</v>
      </c>
      <c r="D168" s="842">
        <v>4900</v>
      </c>
      <c r="E168" s="842">
        <v>5500</v>
      </c>
      <c r="F168" s="842">
        <v>0</v>
      </c>
      <c r="G168" s="842">
        <v>100</v>
      </c>
      <c r="H168" s="842">
        <v>0</v>
      </c>
      <c r="I168" s="842">
        <v>0</v>
      </c>
      <c r="J168" s="842">
        <v>0</v>
      </c>
      <c r="K168" s="842">
        <v>0</v>
      </c>
      <c r="L168" s="842">
        <v>0</v>
      </c>
      <c r="M168" s="842">
        <v>100</v>
      </c>
      <c r="N168" s="842">
        <v>0</v>
      </c>
      <c r="O168" s="842">
        <v>0</v>
      </c>
      <c r="P168" s="842">
        <v>0</v>
      </c>
      <c r="Q168" s="842">
        <v>0</v>
      </c>
      <c r="R168" s="842">
        <v>0</v>
      </c>
      <c r="S168" s="842">
        <v>0</v>
      </c>
      <c r="T168" s="842">
        <v>0</v>
      </c>
      <c r="U168" s="842">
        <v>0</v>
      </c>
      <c r="V168" s="842">
        <v>0</v>
      </c>
      <c r="W168" s="842">
        <v>0</v>
      </c>
      <c r="X168" s="985">
        <v>9.6153846153846159E-3</v>
      </c>
    </row>
    <row r="169" spans="1:24" s="330" customFormat="1" ht="47.25">
      <c r="A169" s="838" t="s">
        <v>2469</v>
      </c>
      <c r="B169" s="840" t="s">
        <v>2359</v>
      </c>
      <c r="C169" s="842">
        <v>16736.429</v>
      </c>
      <c r="D169" s="842">
        <v>1991.4290000000001</v>
      </c>
      <c r="E169" s="842">
        <v>14745</v>
      </c>
      <c r="F169" s="842">
        <v>0</v>
      </c>
      <c r="G169" s="842">
        <v>10626.058000000001</v>
      </c>
      <c r="H169" s="842">
        <v>0</v>
      </c>
      <c r="I169" s="842">
        <v>0</v>
      </c>
      <c r="J169" s="842">
        <v>0</v>
      </c>
      <c r="K169" s="842">
        <v>0</v>
      </c>
      <c r="L169" s="842">
        <v>10626.058000000001</v>
      </c>
      <c r="M169" s="842">
        <v>0</v>
      </c>
      <c r="N169" s="842">
        <v>0</v>
      </c>
      <c r="O169" s="842">
        <v>0</v>
      </c>
      <c r="P169" s="842">
        <v>0</v>
      </c>
      <c r="Q169" s="842">
        <v>0</v>
      </c>
      <c r="R169" s="842">
        <v>0</v>
      </c>
      <c r="S169" s="842">
        <v>0</v>
      </c>
      <c r="T169" s="842">
        <v>0</v>
      </c>
      <c r="U169" s="842">
        <v>0</v>
      </c>
      <c r="V169" s="842">
        <v>0</v>
      </c>
      <c r="W169" s="842">
        <v>0</v>
      </c>
      <c r="X169" s="985">
        <v>0.63490592885734476</v>
      </c>
    </row>
    <row r="170" spans="1:24" s="330" customFormat="1" ht="31.5">
      <c r="A170" s="838" t="s">
        <v>2469</v>
      </c>
      <c r="B170" s="840" t="s">
        <v>2360</v>
      </c>
      <c r="C170" s="842">
        <v>2060</v>
      </c>
      <c r="D170" s="842">
        <v>60</v>
      </c>
      <c r="E170" s="842">
        <v>2000</v>
      </c>
      <c r="F170" s="842">
        <v>0</v>
      </c>
      <c r="G170" s="842">
        <v>2060</v>
      </c>
      <c r="H170" s="842">
        <v>0</v>
      </c>
      <c r="I170" s="842">
        <v>0</v>
      </c>
      <c r="J170" s="842">
        <v>0</v>
      </c>
      <c r="K170" s="842">
        <v>0</v>
      </c>
      <c r="L170" s="842">
        <v>0</v>
      </c>
      <c r="M170" s="842">
        <v>0</v>
      </c>
      <c r="N170" s="842">
        <v>0</v>
      </c>
      <c r="O170" s="842">
        <v>0</v>
      </c>
      <c r="P170" s="842">
        <v>0</v>
      </c>
      <c r="Q170" s="842">
        <v>0</v>
      </c>
      <c r="R170" s="842">
        <v>0</v>
      </c>
      <c r="S170" s="842">
        <v>0</v>
      </c>
      <c r="T170" s="842">
        <v>0</v>
      </c>
      <c r="U170" s="842">
        <v>2060</v>
      </c>
      <c r="V170" s="842">
        <v>0</v>
      </c>
      <c r="W170" s="842">
        <v>0</v>
      </c>
      <c r="X170" s="985">
        <v>1</v>
      </c>
    </row>
    <row r="171" spans="1:24" s="330" customFormat="1" ht="47.25">
      <c r="A171" s="838" t="s">
        <v>2469</v>
      </c>
      <c r="B171" s="840" t="s">
        <v>2574</v>
      </c>
      <c r="C171" s="842">
        <v>336.61577499999999</v>
      </c>
      <c r="D171" s="842">
        <v>336.61577499999999</v>
      </c>
      <c r="E171" s="842">
        <v>0</v>
      </c>
      <c r="F171" s="842">
        <v>0</v>
      </c>
      <c r="G171" s="842">
        <v>305.39071100000001</v>
      </c>
      <c r="H171" s="842">
        <v>0</v>
      </c>
      <c r="I171" s="842">
        <v>0</v>
      </c>
      <c r="J171" s="842">
        <v>0</v>
      </c>
      <c r="K171" s="842">
        <v>0</v>
      </c>
      <c r="L171" s="842">
        <v>0</v>
      </c>
      <c r="M171" s="842">
        <v>0</v>
      </c>
      <c r="N171" s="842">
        <v>0</v>
      </c>
      <c r="O171" s="842">
        <v>0</v>
      </c>
      <c r="P171" s="842">
        <v>0</v>
      </c>
      <c r="Q171" s="842">
        <v>305.39071100000001</v>
      </c>
      <c r="R171" s="842">
        <v>0</v>
      </c>
      <c r="S171" s="842">
        <v>0</v>
      </c>
      <c r="T171" s="842">
        <v>305.39071100000001</v>
      </c>
      <c r="U171" s="842">
        <v>0</v>
      </c>
      <c r="V171" s="842">
        <v>0</v>
      </c>
      <c r="W171" s="842">
        <v>0</v>
      </c>
      <c r="X171" s="985">
        <v>0.90723826297207855</v>
      </c>
    </row>
    <row r="172" spans="1:24" s="330" customFormat="1" ht="47.25">
      <c r="A172" s="838" t="s">
        <v>2469</v>
      </c>
      <c r="B172" s="840" t="s">
        <v>2575</v>
      </c>
      <c r="C172" s="842">
        <v>200.15299999999999</v>
      </c>
      <c r="D172" s="842">
        <v>200.15299999999999</v>
      </c>
      <c r="E172" s="842">
        <v>0</v>
      </c>
      <c r="F172" s="842">
        <v>0</v>
      </c>
      <c r="G172" s="842">
        <v>67.713999999999999</v>
      </c>
      <c r="H172" s="842">
        <v>0</v>
      </c>
      <c r="I172" s="842">
        <v>0</v>
      </c>
      <c r="J172" s="842">
        <v>0</v>
      </c>
      <c r="K172" s="842">
        <v>0</v>
      </c>
      <c r="L172" s="842">
        <v>0</v>
      </c>
      <c r="M172" s="842">
        <v>0</v>
      </c>
      <c r="N172" s="842">
        <v>0</v>
      </c>
      <c r="O172" s="842">
        <v>0</v>
      </c>
      <c r="P172" s="842">
        <v>0</v>
      </c>
      <c r="Q172" s="842">
        <v>67.713999999999999</v>
      </c>
      <c r="R172" s="842">
        <v>0</v>
      </c>
      <c r="S172" s="842">
        <v>0</v>
      </c>
      <c r="T172" s="842">
        <v>67.713999999999999</v>
      </c>
      <c r="U172" s="842">
        <v>0</v>
      </c>
      <c r="V172" s="842">
        <v>0</v>
      </c>
      <c r="W172" s="842">
        <v>0</v>
      </c>
      <c r="X172" s="985">
        <v>0.33831119193816733</v>
      </c>
    </row>
    <row r="173" spans="1:24" s="330" customFormat="1" ht="47.25">
      <c r="A173" s="838" t="s">
        <v>2469</v>
      </c>
      <c r="B173" s="840" t="s">
        <v>2361</v>
      </c>
      <c r="C173" s="842">
        <v>549.06500000000005</v>
      </c>
      <c r="D173" s="842">
        <v>49.064999999999998</v>
      </c>
      <c r="E173" s="842">
        <v>500</v>
      </c>
      <c r="F173" s="842">
        <v>0</v>
      </c>
      <c r="G173" s="842">
        <v>134.20099999999999</v>
      </c>
      <c r="H173" s="842">
        <v>0</v>
      </c>
      <c r="I173" s="842">
        <v>0</v>
      </c>
      <c r="J173" s="842">
        <v>0</v>
      </c>
      <c r="K173" s="842">
        <v>0</v>
      </c>
      <c r="L173" s="842">
        <v>0</v>
      </c>
      <c r="M173" s="842">
        <v>0</v>
      </c>
      <c r="N173" s="842">
        <v>134.20099999999999</v>
      </c>
      <c r="O173" s="842">
        <v>0</v>
      </c>
      <c r="P173" s="842">
        <v>0</v>
      </c>
      <c r="Q173" s="842">
        <v>0</v>
      </c>
      <c r="R173" s="842">
        <v>0</v>
      </c>
      <c r="S173" s="842">
        <v>0</v>
      </c>
      <c r="T173" s="842">
        <v>0</v>
      </c>
      <c r="U173" s="842">
        <v>0</v>
      </c>
      <c r="V173" s="842">
        <v>0</v>
      </c>
      <c r="W173" s="842">
        <v>0</v>
      </c>
      <c r="X173" s="985">
        <v>0.24441732763880411</v>
      </c>
    </row>
    <row r="174" spans="1:24" s="330" customFormat="1" ht="31.5">
      <c r="A174" s="838" t="s">
        <v>2469</v>
      </c>
      <c r="B174" s="840" t="s">
        <v>2362</v>
      </c>
      <c r="C174" s="842">
        <v>18619.024000000001</v>
      </c>
      <c r="D174" s="842">
        <v>7619.0240000000003</v>
      </c>
      <c r="E174" s="842">
        <v>11000</v>
      </c>
      <c r="F174" s="842">
        <v>0</v>
      </c>
      <c r="G174" s="842">
        <v>8026.9579999999996</v>
      </c>
      <c r="H174" s="842">
        <v>0</v>
      </c>
      <c r="I174" s="842">
        <v>0</v>
      </c>
      <c r="J174" s="842">
        <v>0</v>
      </c>
      <c r="K174" s="842">
        <v>0</v>
      </c>
      <c r="L174" s="842">
        <v>0</v>
      </c>
      <c r="M174" s="842">
        <v>0</v>
      </c>
      <c r="N174" s="842">
        <v>0</v>
      </c>
      <c r="O174" s="842">
        <v>0</v>
      </c>
      <c r="P174" s="842">
        <v>0</v>
      </c>
      <c r="Q174" s="842">
        <v>0</v>
      </c>
      <c r="R174" s="842">
        <v>0</v>
      </c>
      <c r="S174" s="842">
        <v>0</v>
      </c>
      <c r="T174" s="842">
        <v>0</v>
      </c>
      <c r="U174" s="842">
        <v>8026.9579999999996</v>
      </c>
      <c r="V174" s="842">
        <v>0</v>
      </c>
      <c r="W174" s="842">
        <v>0</v>
      </c>
      <c r="X174" s="985">
        <v>0.43111593819310823</v>
      </c>
    </row>
    <row r="175" spans="1:24" s="330" customFormat="1" ht="47.25">
      <c r="A175" s="838" t="s">
        <v>2469</v>
      </c>
      <c r="B175" s="840" t="s">
        <v>2576</v>
      </c>
      <c r="C175" s="842">
        <v>300</v>
      </c>
      <c r="D175" s="842">
        <v>0</v>
      </c>
      <c r="E175" s="842">
        <v>0</v>
      </c>
      <c r="F175" s="842">
        <v>300</v>
      </c>
      <c r="G175" s="842">
        <v>300</v>
      </c>
      <c r="H175" s="842">
        <v>0</v>
      </c>
      <c r="I175" s="842">
        <v>0</v>
      </c>
      <c r="J175" s="842">
        <v>0</v>
      </c>
      <c r="K175" s="842">
        <v>0</v>
      </c>
      <c r="L175" s="842">
        <v>0</v>
      </c>
      <c r="M175" s="842">
        <v>0</v>
      </c>
      <c r="N175" s="842">
        <v>0</v>
      </c>
      <c r="O175" s="842">
        <v>0</v>
      </c>
      <c r="P175" s="842">
        <v>0</v>
      </c>
      <c r="Q175" s="842">
        <v>300</v>
      </c>
      <c r="R175" s="842">
        <v>0</v>
      </c>
      <c r="S175" s="842">
        <v>0</v>
      </c>
      <c r="T175" s="842">
        <v>300</v>
      </c>
      <c r="U175" s="842">
        <v>0</v>
      </c>
      <c r="V175" s="842">
        <v>0</v>
      </c>
      <c r="W175" s="842">
        <v>0</v>
      </c>
      <c r="X175" s="985">
        <v>1</v>
      </c>
    </row>
    <row r="176" spans="1:24" s="330" customFormat="1" ht="47.25">
      <c r="A176" s="838" t="s">
        <v>2469</v>
      </c>
      <c r="B176" s="840" t="s">
        <v>2577</v>
      </c>
      <c r="C176" s="842">
        <v>300</v>
      </c>
      <c r="D176" s="842">
        <v>0</v>
      </c>
      <c r="E176" s="842">
        <v>0</v>
      </c>
      <c r="F176" s="842">
        <v>300</v>
      </c>
      <c r="G176" s="842">
        <v>300</v>
      </c>
      <c r="H176" s="842">
        <v>0</v>
      </c>
      <c r="I176" s="842">
        <v>0</v>
      </c>
      <c r="J176" s="842">
        <v>0</v>
      </c>
      <c r="K176" s="842">
        <v>0</v>
      </c>
      <c r="L176" s="842">
        <v>0</v>
      </c>
      <c r="M176" s="842">
        <v>0</v>
      </c>
      <c r="N176" s="842">
        <v>0</v>
      </c>
      <c r="O176" s="842">
        <v>0</v>
      </c>
      <c r="P176" s="842">
        <v>0</v>
      </c>
      <c r="Q176" s="842">
        <v>300</v>
      </c>
      <c r="R176" s="842">
        <v>0</v>
      </c>
      <c r="S176" s="842">
        <v>0</v>
      </c>
      <c r="T176" s="842">
        <v>300</v>
      </c>
      <c r="U176" s="842">
        <v>0</v>
      </c>
      <c r="V176" s="842">
        <v>0</v>
      </c>
      <c r="W176" s="842">
        <v>0</v>
      </c>
      <c r="X176" s="985">
        <v>1</v>
      </c>
    </row>
    <row r="177" spans="1:24" s="330" customFormat="1" ht="63">
      <c r="A177" s="838" t="s">
        <v>2469</v>
      </c>
      <c r="B177" s="840" t="s">
        <v>2578</v>
      </c>
      <c r="C177" s="842">
        <v>300</v>
      </c>
      <c r="D177" s="842">
        <v>0</v>
      </c>
      <c r="E177" s="842">
        <v>0</v>
      </c>
      <c r="F177" s="842">
        <v>300</v>
      </c>
      <c r="G177" s="842">
        <v>300</v>
      </c>
      <c r="H177" s="842">
        <v>0</v>
      </c>
      <c r="I177" s="842">
        <v>0</v>
      </c>
      <c r="J177" s="842">
        <v>0</v>
      </c>
      <c r="K177" s="842">
        <v>0</v>
      </c>
      <c r="L177" s="842">
        <v>0</v>
      </c>
      <c r="M177" s="842">
        <v>0</v>
      </c>
      <c r="N177" s="842">
        <v>0</v>
      </c>
      <c r="O177" s="842">
        <v>0</v>
      </c>
      <c r="P177" s="842">
        <v>0</v>
      </c>
      <c r="Q177" s="842">
        <v>300</v>
      </c>
      <c r="R177" s="842">
        <v>0</v>
      </c>
      <c r="S177" s="842">
        <v>0</v>
      </c>
      <c r="T177" s="842">
        <v>300</v>
      </c>
      <c r="U177" s="842">
        <v>0</v>
      </c>
      <c r="V177" s="842">
        <v>0</v>
      </c>
      <c r="W177" s="842">
        <v>0</v>
      </c>
      <c r="X177" s="985">
        <v>1</v>
      </c>
    </row>
    <row r="178" spans="1:24" s="330" customFormat="1" ht="63">
      <c r="A178" s="838" t="s">
        <v>2469</v>
      </c>
      <c r="B178" s="840" t="s">
        <v>2579</v>
      </c>
      <c r="C178" s="842">
        <v>300</v>
      </c>
      <c r="D178" s="842">
        <v>0</v>
      </c>
      <c r="E178" s="842">
        <v>0</v>
      </c>
      <c r="F178" s="842">
        <v>300</v>
      </c>
      <c r="G178" s="842">
        <v>300</v>
      </c>
      <c r="H178" s="842">
        <v>0</v>
      </c>
      <c r="I178" s="842">
        <v>0</v>
      </c>
      <c r="J178" s="842">
        <v>0</v>
      </c>
      <c r="K178" s="842">
        <v>0</v>
      </c>
      <c r="L178" s="842">
        <v>0</v>
      </c>
      <c r="M178" s="842">
        <v>0</v>
      </c>
      <c r="N178" s="842">
        <v>0</v>
      </c>
      <c r="O178" s="842">
        <v>0</v>
      </c>
      <c r="P178" s="842">
        <v>0</v>
      </c>
      <c r="Q178" s="842">
        <v>300</v>
      </c>
      <c r="R178" s="842">
        <v>0</v>
      </c>
      <c r="S178" s="842">
        <v>0</v>
      </c>
      <c r="T178" s="842">
        <v>300</v>
      </c>
      <c r="U178" s="842">
        <v>0</v>
      </c>
      <c r="V178" s="842">
        <v>0</v>
      </c>
      <c r="W178" s="842">
        <v>0</v>
      </c>
      <c r="X178" s="985">
        <v>1</v>
      </c>
    </row>
    <row r="179" spans="1:24" s="330" customFormat="1" ht="63">
      <c r="A179" s="838" t="s">
        <v>2469</v>
      </c>
      <c r="B179" s="840" t="s">
        <v>2580</v>
      </c>
      <c r="C179" s="842">
        <v>300</v>
      </c>
      <c r="D179" s="842">
        <v>0</v>
      </c>
      <c r="E179" s="842">
        <v>0</v>
      </c>
      <c r="F179" s="842">
        <v>300</v>
      </c>
      <c r="G179" s="842">
        <v>300</v>
      </c>
      <c r="H179" s="842">
        <v>0</v>
      </c>
      <c r="I179" s="842">
        <v>0</v>
      </c>
      <c r="J179" s="842">
        <v>0</v>
      </c>
      <c r="K179" s="842">
        <v>0</v>
      </c>
      <c r="L179" s="842">
        <v>0</v>
      </c>
      <c r="M179" s="842">
        <v>0</v>
      </c>
      <c r="N179" s="842">
        <v>0</v>
      </c>
      <c r="O179" s="842">
        <v>0</v>
      </c>
      <c r="P179" s="842">
        <v>0</v>
      </c>
      <c r="Q179" s="842">
        <v>300</v>
      </c>
      <c r="R179" s="842">
        <v>0</v>
      </c>
      <c r="S179" s="842">
        <v>0</v>
      </c>
      <c r="T179" s="842">
        <v>300</v>
      </c>
      <c r="U179" s="842">
        <v>0</v>
      </c>
      <c r="V179" s="842">
        <v>0</v>
      </c>
      <c r="W179" s="842">
        <v>0</v>
      </c>
      <c r="X179" s="985">
        <v>1</v>
      </c>
    </row>
    <row r="180" spans="1:24" s="330" customFormat="1" ht="78.75">
      <c r="A180" s="838" t="s">
        <v>2469</v>
      </c>
      <c r="B180" s="840" t="s">
        <v>2363</v>
      </c>
      <c r="C180" s="842">
        <v>8300.6569999999992</v>
      </c>
      <c r="D180" s="842">
        <v>4600.6570000000002</v>
      </c>
      <c r="E180" s="842">
        <v>3700</v>
      </c>
      <c r="F180" s="842">
        <v>0</v>
      </c>
      <c r="G180" s="842">
        <v>3320.2190000000001</v>
      </c>
      <c r="H180" s="842">
        <v>3320.2190000000001</v>
      </c>
      <c r="I180" s="842">
        <v>0</v>
      </c>
      <c r="J180" s="842">
        <v>0</v>
      </c>
      <c r="K180" s="842">
        <v>0</v>
      </c>
      <c r="L180" s="842">
        <v>0</v>
      </c>
      <c r="M180" s="842">
        <v>0</v>
      </c>
      <c r="N180" s="842">
        <v>0</v>
      </c>
      <c r="O180" s="842">
        <v>0</v>
      </c>
      <c r="P180" s="842">
        <v>0</v>
      </c>
      <c r="Q180" s="842">
        <v>0</v>
      </c>
      <c r="R180" s="842">
        <v>0</v>
      </c>
      <c r="S180" s="842">
        <v>0</v>
      </c>
      <c r="T180" s="842">
        <v>0</v>
      </c>
      <c r="U180" s="842">
        <v>0</v>
      </c>
      <c r="V180" s="842">
        <v>0</v>
      </c>
      <c r="W180" s="842">
        <v>0</v>
      </c>
      <c r="X180" s="985">
        <v>0.39999472330925134</v>
      </c>
    </row>
    <row r="181" spans="1:24" s="330" customFormat="1" ht="31.5">
      <c r="A181" s="838" t="s">
        <v>2469</v>
      </c>
      <c r="B181" s="840" t="s">
        <v>2581</v>
      </c>
      <c r="C181" s="842">
        <v>1051.518</v>
      </c>
      <c r="D181" s="842">
        <v>251.518</v>
      </c>
      <c r="E181" s="842">
        <v>800</v>
      </c>
      <c r="F181" s="842">
        <v>0</v>
      </c>
      <c r="G181" s="842">
        <v>1051.518</v>
      </c>
      <c r="H181" s="842">
        <v>0</v>
      </c>
      <c r="I181" s="842">
        <v>0</v>
      </c>
      <c r="J181" s="842">
        <v>0</v>
      </c>
      <c r="K181" s="842">
        <v>0</v>
      </c>
      <c r="L181" s="842">
        <v>0</v>
      </c>
      <c r="M181" s="842">
        <v>0</v>
      </c>
      <c r="N181" s="842">
        <v>0</v>
      </c>
      <c r="O181" s="842">
        <v>0</v>
      </c>
      <c r="P181" s="842">
        <v>0</v>
      </c>
      <c r="Q181" s="842">
        <v>1051.518</v>
      </c>
      <c r="R181" s="842">
        <v>0</v>
      </c>
      <c r="S181" s="842">
        <v>0</v>
      </c>
      <c r="T181" s="842">
        <v>1051.518</v>
      </c>
      <c r="U181" s="842">
        <v>0</v>
      </c>
      <c r="V181" s="842">
        <v>0</v>
      </c>
      <c r="W181" s="842">
        <v>0</v>
      </c>
      <c r="X181" s="985">
        <v>1</v>
      </c>
    </row>
    <row r="182" spans="1:24" s="330" customFormat="1" ht="78.75">
      <c r="A182" s="838" t="s">
        <v>2469</v>
      </c>
      <c r="B182" s="840" t="s">
        <v>2364</v>
      </c>
      <c r="C182" s="842">
        <v>7457.28</v>
      </c>
      <c r="D182" s="842">
        <v>2257.2800000000002</v>
      </c>
      <c r="E182" s="842">
        <v>5200</v>
      </c>
      <c r="F182" s="842">
        <v>0</v>
      </c>
      <c r="G182" s="842">
        <v>7063.62</v>
      </c>
      <c r="H182" s="842">
        <v>7063.62</v>
      </c>
      <c r="I182" s="842">
        <v>0</v>
      </c>
      <c r="J182" s="842">
        <v>0</v>
      </c>
      <c r="K182" s="842">
        <v>0</v>
      </c>
      <c r="L182" s="842">
        <v>0</v>
      </c>
      <c r="M182" s="842">
        <v>0</v>
      </c>
      <c r="N182" s="842">
        <v>0</v>
      </c>
      <c r="O182" s="842">
        <v>0</v>
      </c>
      <c r="P182" s="842">
        <v>0</v>
      </c>
      <c r="Q182" s="842">
        <v>0</v>
      </c>
      <c r="R182" s="842">
        <v>0</v>
      </c>
      <c r="S182" s="842">
        <v>0</v>
      </c>
      <c r="T182" s="842">
        <v>0</v>
      </c>
      <c r="U182" s="842">
        <v>0</v>
      </c>
      <c r="V182" s="842">
        <v>0</v>
      </c>
      <c r="W182" s="842">
        <v>0</v>
      </c>
      <c r="X182" s="985">
        <v>0.94721131565396499</v>
      </c>
    </row>
    <row r="183" spans="1:24" s="330" customFormat="1" ht="78.75">
      <c r="A183" s="838" t="s">
        <v>2469</v>
      </c>
      <c r="B183" s="840" t="s">
        <v>2365</v>
      </c>
      <c r="C183" s="842">
        <v>16089.975</v>
      </c>
      <c r="D183" s="842">
        <v>3511.9749999999999</v>
      </c>
      <c r="E183" s="842">
        <v>12578</v>
      </c>
      <c r="F183" s="842">
        <v>0</v>
      </c>
      <c r="G183" s="842">
        <v>16019.975</v>
      </c>
      <c r="H183" s="842">
        <v>16019.975</v>
      </c>
      <c r="I183" s="842">
        <v>0</v>
      </c>
      <c r="J183" s="842">
        <v>0</v>
      </c>
      <c r="K183" s="842">
        <v>0</v>
      </c>
      <c r="L183" s="842">
        <v>0</v>
      </c>
      <c r="M183" s="842">
        <v>0</v>
      </c>
      <c r="N183" s="842">
        <v>0</v>
      </c>
      <c r="O183" s="842">
        <v>0</v>
      </c>
      <c r="P183" s="842">
        <v>0</v>
      </c>
      <c r="Q183" s="842">
        <v>0</v>
      </c>
      <c r="R183" s="842">
        <v>0</v>
      </c>
      <c r="S183" s="842">
        <v>0</v>
      </c>
      <c r="T183" s="842">
        <v>0</v>
      </c>
      <c r="U183" s="842">
        <v>0</v>
      </c>
      <c r="V183" s="842">
        <v>0</v>
      </c>
      <c r="W183" s="842">
        <v>0</v>
      </c>
      <c r="X183" s="985">
        <v>0.99564946496187845</v>
      </c>
    </row>
    <row r="184" spans="1:24" s="330" customFormat="1" ht="63">
      <c r="A184" s="838" t="s">
        <v>2469</v>
      </c>
      <c r="B184" s="840" t="s">
        <v>2582</v>
      </c>
      <c r="C184" s="842">
        <v>7884</v>
      </c>
      <c r="D184" s="842">
        <v>3384</v>
      </c>
      <c r="E184" s="842">
        <v>4500</v>
      </c>
      <c r="F184" s="842">
        <v>0</v>
      </c>
      <c r="G184" s="842">
        <v>5125.3119999999999</v>
      </c>
      <c r="H184" s="842">
        <v>0</v>
      </c>
      <c r="I184" s="842">
        <v>0</v>
      </c>
      <c r="J184" s="842">
        <v>0</v>
      </c>
      <c r="K184" s="842">
        <v>0</v>
      </c>
      <c r="L184" s="842">
        <v>0</v>
      </c>
      <c r="M184" s="842">
        <v>0</v>
      </c>
      <c r="N184" s="842">
        <v>0</v>
      </c>
      <c r="O184" s="842">
        <v>0</v>
      </c>
      <c r="P184" s="842">
        <v>0</v>
      </c>
      <c r="Q184" s="842">
        <v>5125.3119999999999</v>
      </c>
      <c r="R184" s="842">
        <v>0</v>
      </c>
      <c r="S184" s="842">
        <v>0</v>
      </c>
      <c r="T184" s="842">
        <v>5125.3119999999999</v>
      </c>
      <c r="U184" s="842">
        <v>0</v>
      </c>
      <c r="V184" s="842">
        <v>0</v>
      </c>
      <c r="W184" s="842">
        <v>0</v>
      </c>
      <c r="X184" s="985">
        <v>0.65009030948756974</v>
      </c>
    </row>
    <row r="185" spans="1:24" s="330" customFormat="1" ht="78.75">
      <c r="A185" s="838" t="s">
        <v>2469</v>
      </c>
      <c r="B185" s="840" t="s">
        <v>2366</v>
      </c>
      <c r="C185" s="842">
        <v>9413.0820000000003</v>
      </c>
      <c r="D185" s="842">
        <v>2578.3139999999999</v>
      </c>
      <c r="E185" s="842">
        <v>6834.768</v>
      </c>
      <c r="F185" s="842">
        <v>0</v>
      </c>
      <c r="G185" s="842">
        <v>7844.2295590000003</v>
      </c>
      <c r="H185" s="842">
        <v>7844.2295590000003</v>
      </c>
      <c r="I185" s="842">
        <v>0</v>
      </c>
      <c r="J185" s="842">
        <v>0</v>
      </c>
      <c r="K185" s="842">
        <v>0</v>
      </c>
      <c r="L185" s="842">
        <v>0</v>
      </c>
      <c r="M185" s="842">
        <v>0</v>
      </c>
      <c r="N185" s="842">
        <v>0</v>
      </c>
      <c r="O185" s="842">
        <v>0</v>
      </c>
      <c r="P185" s="842">
        <v>0</v>
      </c>
      <c r="Q185" s="842">
        <v>0</v>
      </c>
      <c r="R185" s="842">
        <v>0</v>
      </c>
      <c r="S185" s="842">
        <v>0</v>
      </c>
      <c r="T185" s="842">
        <v>0</v>
      </c>
      <c r="U185" s="842">
        <v>0</v>
      </c>
      <c r="V185" s="842">
        <v>0</v>
      </c>
      <c r="W185" s="842">
        <v>0</v>
      </c>
      <c r="X185" s="985">
        <v>0.83333275530798523</v>
      </c>
    </row>
    <row r="186" spans="1:24" s="330" customFormat="1" ht="31.5">
      <c r="A186" s="838" t="s">
        <v>2469</v>
      </c>
      <c r="B186" s="840" t="s">
        <v>2367</v>
      </c>
      <c r="C186" s="842">
        <v>11756.243</v>
      </c>
      <c r="D186" s="842">
        <v>5756.2430000000004</v>
      </c>
      <c r="E186" s="842">
        <v>4000</v>
      </c>
      <c r="F186" s="842">
        <v>2000</v>
      </c>
      <c r="G186" s="842">
        <v>9093.3889999999992</v>
      </c>
      <c r="H186" s="842">
        <v>0</v>
      </c>
      <c r="I186" s="842">
        <v>0</v>
      </c>
      <c r="J186" s="842">
        <v>0</v>
      </c>
      <c r="K186" s="842">
        <v>0</v>
      </c>
      <c r="L186" s="842">
        <v>0</v>
      </c>
      <c r="M186" s="842">
        <v>0</v>
      </c>
      <c r="N186" s="842">
        <v>0</v>
      </c>
      <c r="O186" s="842">
        <v>9093.3889999999992</v>
      </c>
      <c r="P186" s="842">
        <v>0</v>
      </c>
      <c r="Q186" s="842">
        <v>0</v>
      </c>
      <c r="R186" s="842">
        <v>0</v>
      </c>
      <c r="S186" s="842">
        <v>0</v>
      </c>
      <c r="T186" s="842">
        <v>0</v>
      </c>
      <c r="U186" s="842">
        <v>0</v>
      </c>
      <c r="V186" s="842">
        <v>0</v>
      </c>
      <c r="W186" s="842">
        <v>0</v>
      </c>
      <c r="X186" s="985">
        <v>0.77349447438267471</v>
      </c>
    </row>
    <row r="187" spans="1:24" s="330" customFormat="1" ht="31.5">
      <c r="A187" s="838" t="s">
        <v>2469</v>
      </c>
      <c r="B187" s="840" t="s">
        <v>2368</v>
      </c>
      <c r="C187" s="842">
        <v>3543.0419999999999</v>
      </c>
      <c r="D187" s="842">
        <v>2543.0419999999999</v>
      </c>
      <c r="E187" s="842">
        <v>1000</v>
      </c>
      <c r="F187" s="842">
        <v>0</v>
      </c>
      <c r="G187" s="842">
        <v>1307.76</v>
      </c>
      <c r="H187" s="842">
        <v>0</v>
      </c>
      <c r="I187" s="842">
        <v>0</v>
      </c>
      <c r="J187" s="842">
        <v>0</v>
      </c>
      <c r="K187" s="842">
        <v>0</v>
      </c>
      <c r="L187" s="842">
        <v>0</v>
      </c>
      <c r="M187" s="842">
        <v>0</v>
      </c>
      <c r="N187" s="842">
        <v>0</v>
      </c>
      <c r="O187" s="842">
        <v>0</v>
      </c>
      <c r="P187" s="842">
        <v>0</v>
      </c>
      <c r="Q187" s="842">
        <v>1307.76</v>
      </c>
      <c r="R187" s="842">
        <v>0</v>
      </c>
      <c r="S187" s="842">
        <v>0</v>
      </c>
      <c r="T187" s="842">
        <v>1307.76</v>
      </c>
      <c r="U187" s="842">
        <v>0</v>
      </c>
      <c r="V187" s="842">
        <v>0</v>
      </c>
      <c r="W187" s="842">
        <v>0</v>
      </c>
      <c r="X187" s="985">
        <v>0.36910654742450133</v>
      </c>
    </row>
    <row r="188" spans="1:24" s="330" customFormat="1" ht="47.25">
      <c r="A188" s="838" t="s">
        <v>2469</v>
      </c>
      <c r="B188" s="840" t="s">
        <v>2369</v>
      </c>
      <c r="C188" s="842">
        <v>1325.9864</v>
      </c>
      <c r="D188" s="842">
        <v>625.9864</v>
      </c>
      <c r="E188" s="842">
        <v>700</v>
      </c>
      <c r="F188" s="842">
        <v>0</v>
      </c>
      <c r="G188" s="842">
        <v>1325.9864</v>
      </c>
      <c r="H188" s="842">
        <v>1325.9864</v>
      </c>
      <c r="I188" s="842">
        <v>0</v>
      </c>
      <c r="J188" s="842">
        <v>0</v>
      </c>
      <c r="K188" s="842">
        <v>0</v>
      </c>
      <c r="L188" s="842">
        <v>0</v>
      </c>
      <c r="M188" s="842">
        <v>0</v>
      </c>
      <c r="N188" s="842">
        <v>0</v>
      </c>
      <c r="O188" s="842">
        <v>0</v>
      </c>
      <c r="P188" s="842">
        <v>0</v>
      </c>
      <c r="Q188" s="842">
        <v>0</v>
      </c>
      <c r="R188" s="842">
        <v>0</v>
      </c>
      <c r="S188" s="842">
        <v>0</v>
      </c>
      <c r="T188" s="842">
        <v>0</v>
      </c>
      <c r="U188" s="842">
        <v>0</v>
      </c>
      <c r="V188" s="842">
        <v>0</v>
      </c>
      <c r="W188" s="842">
        <v>0</v>
      </c>
      <c r="X188" s="985">
        <v>1</v>
      </c>
    </row>
    <row r="189" spans="1:24" s="330" customFormat="1" ht="47.25">
      <c r="A189" s="838" t="s">
        <v>2469</v>
      </c>
      <c r="B189" s="840" t="s">
        <v>2370</v>
      </c>
      <c r="C189" s="842">
        <v>800</v>
      </c>
      <c r="D189" s="842">
        <v>0</v>
      </c>
      <c r="E189" s="842">
        <v>800</v>
      </c>
      <c r="F189" s="842">
        <v>0</v>
      </c>
      <c r="G189" s="842">
        <v>800</v>
      </c>
      <c r="H189" s="842">
        <v>800</v>
      </c>
      <c r="I189" s="842">
        <v>0</v>
      </c>
      <c r="J189" s="842">
        <v>0</v>
      </c>
      <c r="K189" s="842">
        <v>0</v>
      </c>
      <c r="L189" s="842">
        <v>0</v>
      </c>
      <c r="M189" s="842">
        <v>0</v>
      </c>
      <c r="N189" s="842">
        <v>0</v>
      </c>
      <c r="O189" s="842">
        <v>0</v>
      </c>
      <c r="P189" s="842">
        <v>0</v>
      </c>
      <c r="Q189" s="842">
        <v>0</v>
      </c>
      <c r="R189" s="842">
        <v>0</v>
      </c>
      <c r="S189" s="842">
        <v>0</v>
      </c>
      <c r="T189" s="842">
        <v>0</v>
      </c>
      <c r="U189" s="842">
        <v>0</v>
      </c>
      <c r="V189" s="842">
        <v>0</v>
      </c>
      <c r="W189" s="842">
        <v>0</v>
      </c>
      <c r="X189" s="985">
        <v>1</v>
      </c>
    </row>
    <row r="190" spans="1:24" s="330" customFormat="1" ht="31.5">
      <c r="A190" s="838" t="s">
        <v>2469</v>
      </c>
      <c r="B190" s="840" t="s">
        <v>2371</v>
      </c>
      <c r="C190" s="842">
        <v>2013.395</v>
      </c>
      <c r="D190" s="842">
        <v>198.16300000000001</v>
      </c>
      <c r="E190" s="842">
        <v>1815.232</v>
      </c>
      <c r="F190" s="842">
        <v>0</v>
      </c>
      <c r="G190" s="842">
        <v>2013.395</v>
      </c>
      <c r="H190" s="842">
        <v>2013.395</v>
      </c>
      <c r="I190" s="842">
        <v>0</v>
      </c>
      <c r="J190" s="842">
        <v>0</v>
      </c>
      <c r="K190" s="842">
        <v>0</v>
      </c>
      <c r="L190" s="842">
        <v>0</v>
      </c>
      <c r="M190" s="842">
        <v>0</v>
      </c>
      <c r="N190" s="842">
        <v>0</v>
      </c>
      <c r="O190" s="842">
        <v>0</v>
      </c>
      <c r="P190" s="842">
        <v>0</v>
      </c>
      <c r="Q190" s="842">
        <v>0</v>
      </c>
      <c r="R190" s="842">
        <v>0</v>
      </c>
      <c r="S190" s="842">
        <v>0</v>
      </c>
      <c r="T190" s="842">
        <v>0</v>
      </c>
      <c r="U190" s="842">
        <v>0</v>
      </c>
      <c r="V190" s="842">
        <v>0</v>
      </c>
      <c r="W190" s="842">
        <v>0</v>
      </c>
      <c r="X190" s="985">
        <v>1</v>
      </c>
    </row>
    <row r="191" spans="1:24" s="330" customFormat="1" ht="31.5">
      <c r="A191" s="838" t="s">
        <v>2469</v>
      </c>
      <c r="B191" s="840" t="s">
        <v>2583</v>
      </c>
      <c r="C191" s="842">
        <v>7524.7554129999999</v>
      </c>
      <c r="D191" s="842">
        <v>2124.7554129999999</v>
      </c>
      <c r="E191" s="842">
        <v>5400</v>
      </c>
      <c r="F191" s="842">
        <v>0</v>
      </c>
      <c r="G191" s="842">
        <v>7524.7554129999999</v>
      </c>
      <c r="H191" s="842">
        <v>0</v>
      </c>
      <c r="I191" s="842">
        <v>0</v>
      </c>
      <c r="J191" s="842">
        <v>0</v>
      </c>
      <c r="K191" s="842">
        <v>0</v>
      </c>
      <c r="L191" s="842">
        <v>0</v>
      </c>
      <c r="M191" s="842">
        <v>0</v>
      </c>
      <c r="N191" s="842">
        <v>0</v>
      </c>
      <c r="O191" s="842">
        <v>0</v>
      </c>
      <c r="P191" s="842">
        <v>0</v>
      </c>
      <c r="Q191" s="842">
        <v>7524.7554129999999</v>
      </c>
      <c r="R191" s="842">
        <v>0</v>
      </c>
      <c r="S191" s="842">
        <v>0</v>
      </c>
      <c r="T191" s="842">
        <v>7524.7554129999999</v>
      </c>
      <c r="U191" s="842">
        <v>0</v>
      </c>
      <c r="V191" s="842">
        <v>0</v>
      </c>
      <c r="W191" s="842">
        <v>0</v>
      </c>
      <c r="X191" s="985">
        <v>1</v>
      </c>
    </row>
    <row r="192" spans="1:24" s="330" customFormat="1" ht="31.5">
      <c r="A192" s="838" t="s">
        <v>2469</v>
      </c>
      <c r="B192" s="840" t="s">
        <v>2289</v>
      </c>
      <c r="C192" s="842">
        <v>3640</v>
      </c>
      <c r="D192" s="842">
        <v>0</v>
      </c>
      <c r="E192" s="842">
        <v>0</v>
      </c>
      <c r="F192" s="842">
        <v>3640</v>
      </c>
      <c r="G192" s="842">
        <v>1315.279</v>
      </c>
      <c r="H192" s="842">
        <v>0</v>
      </c>
      <c r="I192" s="842">
        <v>0</v>
      </c>
      <c r="J192" s="842">
        <v>0</v>
      </c>
      <c r="K192" s="842">
        <v>0</v>
      </c>
      <c r="L192" s="842">
        <v>0</v>
      </c>
      <c r="M192" s="842">
        <v>0</v>
      </c>
      <c r="N192" s="842">
        <v>0</v>
      </c>
      <c r="O192" s="842">
        <v>0</v>
      </c>
      <c r="P192" s="842">
        <v>0</v>
      </c>
      <c r="Q192" s="842">
        <v>1315.279</v>
      </c>
      <c r="R192" s="842">
        <v>0</v>
      </c>
      <c r="S192" s="842">
        <v>0</v>
      </c>
      <c r="T192" s="842">
        <v>1315.279</v>
      </c>
      <c r="U192" s="842">
        <v>0</v>
      </c>
      <c r="V192" s="842">
        <v>0</v>
      </c>
      <c r="W192" s="842">
        <v>0</v>
      </c>
      <c r="X192" s="985">
        <v>0.36134038461538459</v>
      </c>
    </row>
    <row r="193" spans="1:24" s="330" customFormat="1" ht="47.25">
      <c r="A193" s="838" t="s">
        <v>2469</v>
      </c>
      <c r="B193" s="840" t="s">
        <v>2372</v>
      </c>
      <c r="C193" s="842">
        <v>1500</v>
      </c>
      <c r="D193" s="842">
        <v>0</v>
      </c>
      <c r="E193" s="842">
        <v>0</v>
      </c>
      <c r="F193" s="842">
        <v>1500</v>
      </c>
      <c r="G193" s="842">
        <v>1500</v>
      </c>
      <c r="H193" s="842">
        <v>1500</v>
      </c>
      <c r="I193" s="842">
        <v>0</v>
      </c>
      <c r="J193" s="842">
        <v>0</v>
      </c>
      <c r="K193" s="842">
        <v>0</v>
      </c>
      <c r="L193" s="842">
        <v>0</v>
      </c>
      <c r="M193" s="842">
        <v>0</v>
      </c>
      <c r="N193" s="842">
        <v>0</v>
      </c>
      <c r="O193" s="842">
        <v>0</v>
      </c>
      <c r="P193" s="842">
        <v>0</v>
      </c>
      <c r="Q193" s="842">
        <v>0</v>
      </c>
      <c r="R193" s="842">
        <v>0</v>
      </c>
      <c r="S193" s="842">
        <v>0</v>
      </c>
      <c r="T193" s="842">
        <v>0</v>
      </c>
      <c r="U193" s="842">
        <v>0</v>
      </c>
      <c r="V193" s="842">
        <v>0</v>
      </c>
      <c r="W193" s="842">
        <v>0</v>
      </c>
      <c r="X193" s="985">
        <v>1</v>
      </c>
    </row>
    <row r="194" spans="1:24" s="330" customFormat="1" ht="31.5">
      <c r="A194" s="838" t="s">
        <v>2469</v>
      </c>
      <c r="B194" s="840" t="s">
        <v>2373</v>
      </c>
      <c r="C194" s="842">
        <v>1000</v>
      </c>
      <c r="D194" s="842">
        <v>0</v>
      </c>
      <c r="E194" s="842">
        <v>1000</v>
      </c>
      <c r="F194" s="842">
        <v>0</v>
      </c>
      <c r="G194" s="842">
        <v>883.54600000000005</v>
      </c>
      <c r="H194" s="842">
        <v>0</v>
      </c>
      <c r="I194" s="842">
        <v>0</v>
      </c>
      <c r="J194" s="842">
        <v>0</v>
      </c>
      <c r="K194" s="842">
        <v>0</v>
      </c>
      <c r="L194" s="842">
        <v>0</v>
      </c>
      <c r="M194" s="842">
        <v>0</v>
      </c>
      <c r="N194" s="842">
        <v>0</v>
      </c>
      <c r="O194" s="842">
        <v>0</v>
      </c>
      <c r="P194" s="842">
        <v>0</v>
      </c>
      <c r="Q194" s="842">
        <v>883.54600000000005</v>
      </c>
      <c r="R194" s="842">
        <v>0</v>
      </c>
      <c r="S194" s="842">
        <v>0</v>
      </c>
      <c r="T194" s="842">
        <v>883.54600000000005</v>
      </c>
      <c r="U194" s="842">
        <v>0</v>
      </c>
      <c r="V194" s="842">
        <v>0</v>
      </c>
      <c r="W194" s="842">
        <v>0</v>
      </c>
      <c r="X194" s="985">
        <v>0.88354600000000005</v>
      </c>
    </row>
    <row r="195" spans="1:24" s="330" customFormat="1" ht="31.5">
      <c r="A195" s="838" t="s">
        <v>2469</v>
      </c>
      <c r="B195" s="840" t="s">
        <v>2374</v>
      </c>
      <c r="C195" s="842">
        <v>2182.9369999999999</v>
      </c>
      <c r="D195" s="842">
        <v>182.93700000000001</v>
      </c>
      <c r="E195" s="842">
        <v>2000</v>
      </c>
      <c r="F195" s="842">
        <v>0</v>
      </c>
      <c r="G195" s="842">
        <v>2182.9369999999999</v>
      </c>
      <c r="H195" s="842">
        <v>0</v>
      </c>
      <c r="I195" s="842">
        <v>0</v>
      </c>
      <c r="J195" s="842">
        <v>0</v>
      </c>
      <c r="K195" s="842">
        <v>0</v>
      </c>
      <c r="L195" s="842">
        <v>0</v>
      </c>
      <c r="M195" s="842">
        <v>0</v>
      </c>
      <c r="N195" s="842">
        <v>0</v>
      </c>
      <c r="O195" s="842">
        <v>0</v>
      </c>
      <c r="P195" s="842">
        <v>0</v>
      </c>
      <c r="Q195" s="842">
        <v>0</v>
      </c>
      <c r="R195" s="842">
        <v>0</v>
      </c>
      <c r="S195" s="842">
        <v>0</v>
      </c>
      <c r="T195" s="842">
        <v>0</v>
      </c>
      <c r="U195" s="842">
        <v>2182.9369999999999</v>
      </c>
      <c r="V195" s="842">
        <v>0</v>
      </c>
      <c r="W195" s="842">
        <v>0</v>
      </c>
      <c r="X195" s="985">
        <v>1</v>
      </c>
    </row>
    <row r="196" spans="1:24" s="330" customFormat="1" ht="47.25">
      <c r="A196" s="838" t="s">
        <v>2469</v>
      </c>
      <c r="B196" s="840" t="s">
        <v>2375</v>
      </c>
      <c r="C196" s="842">
        <v>2954.2350000000001</v>
      </c>
      <c r="D196" s="842">
        <v>254.23500000000001</v>
      </c>
      <c r="E196" s="842">
        <v>2700</v>
      </c>
      <c r="F196" s="842">
        <v>0</v>
      </c>
      <c r="G196" s="842">
        <v>2954.2350000000001</v>
      </c>
      <c r="H196" s="842">
        <v>2954.2350000000001</v>
      </c>
      <c r="I196" s="842">
        <v>0</v>
      </c>
      <c r="J196" s="842">
        <v>0</v>
      </c>
      <c r="K196" s="842">
        <v>0</v>
      </c>
      <c r="L196" s="842">
        <v>0</v>
      </c>
      <c r="M196" s="842">
        <v>0</v>
      </c>
      <c r="N196" s="842">
        <v>0</v>
      </c>
      <c r="O196" s="842">
        <v>0</v>
      </c>
      <c r="P196" s="842">
        <v>0</v>
      </c>
      <c r="Q196" s="842">
        <v>0</v>
      </c>
      <c r="R196" s="842">
        <v>0</v>
      </c>
      <c r="S196" s="842">
        <v>0</v>
      </c>
      <c r="T196" s="842">
        <v>0</v>
      </c>
      <c r="U196" s="842">
        <v>0</v>
      </c>
      <c r="V196" s="842">
        <v>0</v>
      </c>
      <c r="W196" s="842">
        <v>0</v>
      </c>
      <c r="X196" s="985">
        <v>1</v>
      </c>
    </row>
    <row r="197" spans="1:24" s="330" customFormat="1">
      <c r="A197" s="838" t="s">
        <v>2469</v>
      </c>
      <c r="B197" s="840" t="s">
        <v>2376</v>
      </c>
      <c r="C197" s="842">
        <v>2000</v>
      </c>
      <c r="D197" s="842">
        <v>0</v>
      </c>
      <c r="E197" s="842">
        <v>2000</v>
      </c>
      <c r="F197" s="842">
        <v>0</v>
      </c>
      <c r="G197" s="842">
        <v>2000</v>
      </c>
      <c r="H197" s="842">
        <v>0</v>
      </c>
      <c r="I197" s="842">
        <v>0</v>
      </c>
      <c r="J197" s="842">
        <v>0</v>
      </c>
      <c r="K197" s="842">
        <v>0</v>
      </c>
      <c r="L197" s="842">
        <v>2000</v>
      </c>
      <c r="M197" s="842">
        <v>0</v>
      </c>
      <c r="N197" s="842">
        <v>0</v>
      </c>
      <c r="O197" s="842">
        <v>0</v>
      </c>
      <c r="P197" s="842">
        <v>0</v>
      </c>
      <c r="Q197" s="842">
        <v>0</v>
      </c>
      <c r="R197" s="842">
        <v>0</v>
      </c>
      <c r="S197" s="842">
        <v>0</v>
      </c>
      <c r="T197" s="842">
        <v>0</v>
      </c>
      <c r="U197" s="842">
        <v>0</v>
      </c>
      <c r="V197" s="842">
        <v>0</v>
      </c>
      <c r="W197" s="842">
        <v>0</v>
      </c>
      <c r="X197" s="985">
        <v>1</v>
      </c>
    </row>
    <row r="198" spans="1:24" s="330" customFormat="1" ht="47.25">
      <c r="A198" s="838" t="s">
        <v>2469</v>
      </c>
      <c r="B198" s="840" t="s">
        <v>2377</v>
      </c>
      <c r="C198" s="842">
        <v>600</v>
      </c>
      <c r="D198" s="842">
        <v>0</v>
      </c>
      <c r="E198" s="842">
        <v>600</v>
      </c>
      <c r="F198" s="842">
        <v>0</v>
      </c>
      <c r="G198" s="842">
        <v>460.95</v>
      </c>
      <c r="H198" s="842">
        <v>460.95</v>
      </c>
      <c r="I198" s="842">
        <v>0</v>
      </c>
      <c r="J198" s="842">
        <v>0</v>
      </c>
      <c r="K198" s="842">
        <v>0</v>
      </c>
      <c r="L198" s="842">
        <v>0</v>
      </c>
      <c r="M198" s="842">
        <v>0</v>
      </c>
      <c r="N198" s="842">
        <v>0</v>
      </c>
      <c r="O198" s="842">
        <v>0</v>
      </c>
      <c r="P198" s="842">
        <v>0</v>
      </c>
      <c r="Q198" s="842">
        <v>0</v>
      </c>
      <c r="R198" s="842">
        <v>0</v>
      </c>
      <c r="S198" s="842">
        <v>0</v>
      </c>
      <c r="T198" s="842">
        <v>0</v>
      </c>
      <c r="U198" s="842">
        <v>0</v>
      </c>
      <c r="V198" s="842">
        <v>0</v>
      </c>
      <c r="W198" s="842">
        <v>0</v>
      </c>
      <c r="X198" s="985">
        <v>0.76824999999999999</v>
      </c>
    </row>
    <row r="199" spans="1:24" s="330" customFormat="1" ht="47.25">
      <c r="A199" s="838" t="s">
        <v>2469</v>
      </c>
      <c r="B199" s="840" t="s">
        <v>2378</v>
      </c>
      <c r="C199" s="842">
        <v>2400</v>
      </c>
      <c r="D199" s="842">
        <v>400</v>
      </c>
      <c r="E199" s="842">
        <v>2000</v>
      </c>
      <c r="F199" s="842">
        <v>0</v>
      </c>
      <c r="G199" s="842">
        <v>2285.8789999999999</v>
      </c>
      <c r="H199" s="842">
        <v>0</v>
      </c>
      <c r="I199" s="842">
        <v>0</v>
      </c>
      <c r="J199" s="842">
        <v>0</v>
      </c>
      <c r="K199" s="842">
        <v>0</v>
      </c>
      <c r="L199" s="842">
        <v>2285.8789999999999</v>
      </c>
      <c r="M199" s="842">
        <v>0</v>
      </c>
      <c r="N199" s="842">
        <v>0</v>
      </c>
      <c r="O199" s="842">
        <v>0</v>
      </c>
      <c r="P199" s="842">
        <v>0</v>
      </c>
      <c r="Q199" s="842">
        <v>0</v>
      </c>
      <c r="R199" s="842">
        <v>0</v>
      </c>
      <c r="S199" s="842">
        <v>0</v>
      </c>
      <c r="T199" s="842">
        <v>0</v>
      </c>
      <c r="U199" s="842">
        <v>0</v>
      </c>
      <c r="V199" s="842">
        <v>0</v>
      </c>
      <c r="W199" s="842">
        <v>0</v>
      </c>
      <c r="X199" s="985">
        <v>0.95244958333333329</v>
      </c>
    </row>
    <row r="200" spans="1:24" s="330" customFormat="1" ht="47.25">
      <c r="A200" s="838" t="s">
        <v>2469</v>
      </c>
      <c r="B200" s="840" t="s">
        <v>2379</v>
      </c>
      <c r="C200" s="842">
        <v>1950</v>
      </c>
      <c r="D200" s="842">
        <v>0</v>
      </c>
      <c r="E200" s="842">
        <v>1950</v>
      </c>
      <c r="F200" s="842">
        <v>0</v>
      </c>
      <c r="G200" s="842">
        <v>1950</v>
      </c>
      <c r="H200" s="842">
        <v>1950</v>
      </c>
      <c r="I200" s="842">
        <v>0</v>
      </c>
      <c r="J200" s="842">
        <v>0</v>
      </c>
      <c r="K200" s="842">
        <v>0</v>
      </c>
      <c r="L200" s="842">
        <v>0</v>
      </c>
      <c r="M200" s="842">
        <v>0</v>
      </c>
      <c r="N200" s="842">
        <v>0</v>
      </c>
      <c r="O200" s="842">
        <v>0</v>
      </c>
      <c r="P200" s="842">
        <v>0</v>
      </c>
      <c r="Q200" s="842">
        <v>0</v>
      </c>
      <c r="R200" s="842">
        <v>0</v>
      </c>
      <c r="S200" s="842">
        <v>0</v>
      </c>
      <c r="T200" s="842">
        <v>0</v>
      </c>
      <c r="U200" s="842">
        <v>0</v>
      </c>
      <c r="V200" s="842">
        <v>0</v>
      </c>
      <c r="W200" s="842">
        <v>0</v>
      </c>
      <c r="X200" s="985">
        <v>1</v>
      </c>
    </row>
    <row r="201" spans="1:24" s="330" customFormat="1" ht="78.75">
      <c r="A201" s="838" t="s">
        <v>2469</v>
      </c>
      <c r="B201" s="840" t="s">
        <v>2380</v>
      </c>
      <c r="C201" s="842">
        <v>5100</v>
      </c>
      <c r="D201" s="842">
        <v>2400</v>
      </c>
      <c r="E201" s="842">
        <v>2700</v>
      </c>
      <c r="F201" s="842">
        <v>0</v>
      </c>
      <c r="G201" s="842">
        <v>4980</v>
      </c>
      <c r="H201" s="842">
        <v>4980</v>
      </c>
      <c r="I201" s="842">
        <v>0</v>
      </c>
      <c r="J201" s="842">
        <v>0</v>
      </c>
      <c r="K201" s="842">
        <v>0</v>
      </c>
      <c r="L201" s="842">
        <v>0</v>
      </c>
      <c r="M201" s="842">
        <v>0</v>
      </c>
      <c r="N201" s="842">
        <v>0</v>
      </c>
      <c r="O201" s="842">
        <v>0</v>
      </c>
      <c r="P201" s="842">
        <v>0</v>
      </c>
      <c r="Q201" s="842">
        <v>0</v>
      </c>
      <c r="R201" s="842">
        <v>0</v>
      </c>
      <c r="S201" s="842">
        <v>0</v>
      </c>
      <c r="T201" s="842">
        <v>0</v>
      </c>
      <c r="U201" s="842">
        <v>0</v>
      </c>
      <c r="V201" s="842">
        <v>0</v>
      </c>
      <c r="W201" s="842">
        <v>0</v>
      </c>
      <c r="X201" s="985">
        <v>0.97647058823529409</v>
      </c>
    </row>
    <row r="202" spans="1:24" s="330" customFormat="1" ht="31.5">
      <c r="A202" s="838" t="s">
        <v>2469</v>
      </c>
      <c r="B202" s="840" t="s">
        <v>2381</v>
      </c>
      <c r="C202" s="842">
        <v>2601.1999999999998</v>
      </c>
      <c r="D202" s="842">
        <v>301.2</v>
      </c>
      <c r="E202" s="842">
        <v>2300</v>
      </c>
      <c r="F202" s="842">
        <v>0</v>
      </c>
      <c r="G202" s="842">
        <v>2601.1999999999998</v>
      </c>
      <c r="H202" s="842">
        <v>2601.1999999999998</v>
      </c>
      <c r="I202" s="842">
        <v>0</v>
      </c>
      <c r="J202" s="842">
        <v>0</v>
      </c>
      <c r="K202" s="842">
        <v>0</v>
      </c>
      <c r="L202" s="842">
        <v>0</v>
      </c>
      <c r="M202" s="842">
        <v>0</v>
      </c>
      <c r="N202" s="842">
        <v>0</v>
      </c>
      <c r="O202" s="842">
        <v>0</v>
      </c>
      <c r="P202" s="842">
        <v>0</v>
      </c>
      <c r="Q202" s="842">
        <v>0</v>
      </c>
      <c r="R202" s="842">
        <v>0</v>
      </c>
      <c r="S202" s="842">
        <v>0</v>
      </c>
      <c r="T202" s="842">
        <v>0</v>
      </c>
      <c r="U202" s="842">
        <v>0</v>
      </c>
      <c r="V202" s="842">
        <v>0</v>
      </c>
      <c r="W202" s="842">
        <v>0</v>
      </c>
      <c r="X202" s="985">
        <v>1</v>
      </c>
    </row>
    <row r="203" spans="1:24" s="330" customFormat="1" ht="63">
      <c r="A203" s="838" t="s">
        <v>2469</v>
      </c>
      <c r="B203" s="840" t="s">
        <v>2584</v>
      </c>
      <c r="C203" s="842">
        <v>777.04200000000003</v>
      </c>
      <c r="D203" s="842">
        <v>777.04200000000003</v>
      </c>
      <c r="E203" s="842">
        <v>0</v>
      </c>
      <c r="F203" s="842">
        <v>0</v>
      </c>
      <c r="G203" s="842">
        <v>392.01100000000002</v>
      </c>
      <c r="H203" s="842">
        <v>0</v>
      </c>
      <c r="I203" s="842">
        <v>0</v>
      </c>
      <c r="J203" s="842">
        <v>0</v>
      </c>
      <c r="K203" s="842">
        <v>0</v>
      </c>
      <c r="L203" s="842">
        <v>0</v>
      </c>
      <c r="M203" s="842">
        <v>0</v>
      </c>
      <c r="N203" s="842">
        <v>0</v>
      </c>
      <c r="O203" s="842">
        <v>0</v>
      </c>
      <c r="P203" s="842">
        <v>0</v>
      </c>
      <c r="Q203" s="842">
        <v>392.01100000000002</v>
      </c>
      <c r="R203" s="842">
        <v>0</v>
      </c>
      <c r="S203" s="842">
        <v>0</v>
      </c>
      <c r="T203" s="842">
        <v>392.01100000000002</v>
      </c>
      <c r="U203" s="842">
        <v>0</v>
      </c>
      <c r="V203" s="842">
        <v>0</v>
      </c>
      <c r="W203" s="842">
        <v>0</v>
      </c>
      <c r="X203" s="985">
        <v>0.50449139171370405</v>
      </c>
    </row>
    <row r="204" spans="1:24" s="330" customFormat="1" ht="31.5">
      <c r="A204" s="838" t="s">
        <v>2469</v>
      </c>
      <c r="B204" s="840" t="s">
        <v>2382</v>
      </c>
      <c r="C204" s="842">
        <v>60.497</v>
      </c>
      <c r="D204" s="842">
        <v>60.497</v>
      </c>
      <c r="E204" s="842">
        <v>0</v>
      </c>
      <c r="F204" s="842">
        <v>0</v>
      </c>
      <c r="G204" s="842">
        <v>60.497</v>
      </c>
      <c r="H204" s="842">
        <v>0</v>
      </c>
      <c r="I204" s="842">
        <v>0</v>
      </c>
      <c r="J204" s="842">
        <v>0</v>
      </c>
      <c r="K204" s="842">
        <v>0</v>
      </c>
      <c r="L204" s="842">
        <v>0</v>
      </c>
      <c r="M204" s="842">
        <v>0</v>
      </c>
      <c r="N204" s="842">
        <v>0</v>
      </c>
      <c r="O204" s="842">
        <v>0</v>
      </c>
      <c r="P204" s="842">
        <v>0</v>
      </c>
      <c r="Q204" s="842">
        <v>60.497</v>
      </c>
      <c r="R204" s="842">
        <v>0</v>
      </c>
      <c r="S204" s="842">
        <v>0</v>
      </c>
      <c r="T204" s="842">
        <v>60.497</v>
      </c>
      <c r="U204" s="842">
        <v>0</v>
      </c>
      <c r="V204" s="842">
        <v>0</v>
      </c>
      <c r="W204" s="842">
        <v>0</v>
      </c>
      <c r="X204" s="985">
        <v>1</v>
      </c>
    </row>
    <row r="205" spans="1:24" s="330" customFormat="1" ht="47.25">
      <c r="A205" s="838" t="s">
        <v>2469</v>
      </c>
      <c r="B205" s="840" t="s">
        <v>2383</v>
      </c>
      <c r="C205" s="842">
        <v>4544.6279999999997</v>
      </c>
      <c r="D205" s="842">
        <v>1544.6279999999999</v>
      </c>
      <c r="E205" s="842">
        <v>3000</v>
      </c>
      <c r="F205" s="842">
        <v>0</v>
      </c>
      <c r="G205" s="842">
        <v>4544.3710000000001</v>
      </c>
      <c r="H205" s="842">
        <v>4544.3710000000001</v>
      </c>
      <c r="I205" s="842">
        <v>0</v>
      </c>
      <c r="J205" s="842">
        <v>0</v>
      </c>
      <c r="K205" s="842">
        <v>0</v>
      </c>
      <c r="L205" s="842">
        <v>0</v>
      </c>
      <c r="M205" s="842">
        <v>0</v>
      </c>
      <c r="N205" s="842">
        <v>0</v>
      </c>
      <c r="O205" s="842">
        <v>0</v>
      </c>
      <c r="P205" s="842">
        <v>0</v>
      </c>
      <c r="Q205" s="842">
        <v>0</v>
      </c>
      <c r="R205" s="842">
        <v>0</v>
      </c>
      <c r="S205" s="842">
        <v>0</v>
      </c>
      <c r="T205" s="842">
        <v>0</v>
      </c>
      <c r="U205" s="842">
        <v>0</v>
      </c>
      <c r="V205" s="842">
        <v>0</v>
      </c>
      <c r="W205" s="842">
        <v>0</v>
      </c>
      <c r="X205" s="985">
        <v>0.99994344971689664</v>
      </c>
    </row>
    <row r="206" spans="1:24" s="330" customFormat="1" ht="31.5">
      <c r="A206" s="838" t="s">
        <v>2469</v>
      </c>
      <c r="B206" s="840" t="s">
        <v>2585</v>
      </c>
      <c r="C206" s="842">
        <v>1065</v>
      </c>
      <c r="D206" s="842">
        <v>125</v>
      </c>
      <c r="E206" s="842">
        <v>1000</v>
      </c>
      <c r="F206" s="842">
        <v>-60</v>
      </c>
      <c r="G206" s="842">
        <v>1064.6659999999999</v>
      </c>
      <c r="H206" s="842">
        <v>0</v>
      </c>
      <c r="I206" s="842">
        <v>0</v>
      </c>
      <c r="J206" s="842">
        <v>0</v>
      </c>
      <c r="K206" s="842">
        <v>0</v>
      </c>
      <c r="L206" s="842">
        <v>0</v>
      </c>
      <c r="M206" s="842">
        <v>0</v>
      </c>
      <c r="N206" s="842">
        <v>0</v>
      </c>
      <c r="O206" s="842">
        <v>0</v>
      </c>
      <c r="P206" s="842">
        <v>0</v>
      </c>
      <c r="Q206" s="842">
        <v>1064.6659999999999</v>
      </c>
      <c r="R206" s="842">
        <v>0</v>
      </c>
      <c r="S206" s="842">
        <v>0</v>
      </c>
      <c r="T206" s="842">
        <v>1064.6659999999999</v>
      </c>
      <c r="U206" s="842">
        <v>0</v>
      </c>
      <c r="V206" s="842">
        <v>0</v>
      </c>
      <c r="W206" s="842">
        <v>0</v>
      </c>
      <c r="X206" s="985">
        <v>0.99968638497652573</v>
      </c>
    </row>
    <row r="207" spans="1:24" s="330" customFormat="1" ht="47.25">
      <c r="A207" s="838" t="s">
        <v>2469</v>
      </c>
      <c r="B207" s="840" t="s">
        <v>2586</v>
      </c>
      <c r="C207" s="842">
        <v>2000</v>
      </c>
      <c r="D207" s="842">
        <v>0</v>
      </c>
      <c r="E207" s="842">
        <v>0</v>
      </c>
      <c r="F207" s="842">
        <v>2000</v>
      </c>
      <c r="G207" s="842">
        <v>1546.278</v>
      </c>
      <c r="H207" s="842">
        <v>0</v>
      </c>
      <c r="I207" s="842">
        <v>0</v>
      </c>
      <c r="J207" s="842">
        <v>0</v>
      </c>
      <c r="K207" s="842">
        <v>0</v>
      </c>
      <c r="L207" s="842">
        <v>0</v>
      </c>
      <c r="M207" s="842">
        <v>0</v>
      </c>
      <c r="N207" s="842">
        <v>0</v>
      </c>
      <c r="O207" s="842">
        <v>0</v>
      </c>
      <c r="P207" s="842">
        <v>0</v>
      </c>
      <c r="Q207" s="842">
        <v>1546.278</v>
      </c>
      <c r="R207" s="842">
        <v>0</v>
      </c>
      <c r="S207" s="842">
        <v>0</v>
      </c>
      <c r="T207" s="842">
        <v>1546.278</v>
      </c>
      <c r="U207" s="842">
        <v>0</v>
      </c>
      <c r="V207" s="842">
        <v>0</v>
      </c>
      <c r="W207" s="842">
        <v>0</v>
      </c>
      <c r="X207" s="985">
        <v>0.77313900000000002</v>
      </c>
    </row>
    <row r="208" spans="1:24" s="330" customFormat="1" ht="31.5">
      <c r="A208" s="838" t="s">
        <v>2469</v>
      </c>
      <c r="B208" s="840" t="s">
        <v>2587</v>
      </c>
      <c r="C208" s="842">
        <v>3000</v>
      </c>
      <c r="D208" s="842">
        <v>0</v>
      </c>
      <c r="E208" s="842">
        <v>3000</v>
      </c>
      <c r="F208" s="842">
        <v>0</v>
      </c>
      <c r="G208" s="842">
        <v>2108.7370000000001</v>
      </c>
      <c r="H208" s="842">
        <v>0</v>
      </c>
      <c r="I208" s="842">
        <v>0</v>
      </c>
      <c r="J208" s="842">
        <v>0</v>
      </c>
      <c r="K208" s="842">
        <v>0</v>
      </c>
      <c r="L208" s="842">
        <v>0</v>
      </c>
      <c r="M208" s="842">
        <v>0</v>
      </c>
      <c r="N208" s="842">
        <v>0</v>
      </c>
      <c r="O208" s="842">
        <v>0</v>
      </c>
      <c r="P208" s="842">
        <v>0</v>
      </c>
      <c r="Q208" s="842">
        <v>2108.7370000000001</v>
      </c>
      <c r="R208" s="842">
        <v>0</v>
      </c>
      <c r="S208" s="842">
        <v>0</v>
      </c>
      <c r="T208" s="842">
        <v>2108.7370000000001</v>
      </c>
      <c r="U208" s="842">
        <v>0</v>
      </c>
      <c r="V208" s="842">
        <v>0</v>
      </c>
      <c r="W208" s="842">
        <v>0</v>
      </c>
      <c r="X208" s="985">
        <v>0.70291233333333336</v>
      </c>
    </row>
    <row r="209" spans="1:24" s="330" customFormat="1" ht="47.25">
      <c r="A209" s="838" t="s">
        <v>2469</v>
      </c>
      <c r="B209" s="840" t="s">
        <v>2588</v>
      </c>
      <c r="C209" s="842">
        <v>1000</v>
      </c>
      <c r="D209" s="842">
        <v>0</v>
      </c>
      <c r="E209" s="842">
        <v>0</v>
      </c>
      <c r="F209" s="842">
        <v>1000</v>
      </c>
      <c r="G209" s="842">
        <v>1000</v>
      </c>
      <c r="H209" s="842">
        <v>1000</v>
      </c>
      <c r="I209" s="842">
        <v>0</v>
      </c>
      <c r="J209" s="842">
        <v>0</v>
      </c>
      <c r="K209" s="842">
        <v>0</v>
      </c>
      <c r="L209" s="842">
        <v>0</v>
      </c>
      <c r="M209" s="842">
        <v>0</v>
      </c>
      <c r="N209" s="842">
        <v>0</v>
      </c>
      <c r="O209" s="842">
        <v>0</v>
      </c>
      <c r="P209" s="842">
        <v>0</v>
      </c>
      <c r="Q209" s="842">
        <v>0</v>
      </c>
      <c r="R209" s="842">
        <v>0</v>
      </c>
      <c r="S209" s="842">
        <v>0</v>
      </c>
      <c r="T209" s="842">
        <v>0</v>
      </c>
      <c r="U209" s="842">
        <v>0</v>
      </c>
      <c r="V209" s="842">
        <v>0</v>
      </c>
      <c r="W209" s="842">
        <v>0</v>
      </c>
      <c r="X209" s="985">
        <v>1</v>
      </c>
    </row>
    <row r="210" spans="1:24" s="330" customFormat="1" ht="47.25">
      <c r="A210" s="838" t="s">
        <v>2469</v>
      </c>
      <c r="B210" s="840" t="s">
        <v>2589</v>
      </c>
      <c r="C210" s="842">
        <v>1000</v>
      </c>
      <c r="D210" s="842">
        <v>0</v>
      </c>
      <c r="E210" s="842">
        <v>0</v>
      </c>
      <c r="F210" s="842">
        <v>1000</v>
      </c>
      <c r="G210" s="842">
        <v>1000</v>
      </c>
      <c r="H210" s="842">
        <v>1000</v>
      </c>
      <c r="I210" s="842">
        <v>0</v>
      </c>
      <c r="J210" s="842">
        <v>0</v>
      </c>
      <c r="K210" s="842">
        <v>0</v>
      </c>
      <c r="L210" s="842">
        <v>0</v>
      </c>
      <c r="M210" s="842">
        <v>0</v>
      </c>
      <c r="N210" s="842">
        <v>0</v>
      </c>
      <c r="O210" s="842">
        <v>0</v>
      </c>
      <c r="P210" s="842">
        <v>0</v>
      </c>
      <c r="Q210" s="842">
        <v>0</v>
      </c>
      <c r="R210" s="842">
        <v>0</v>
      </c>
      <c r="S210" s="842">
        <v>0</v>
      </c>
      <c r="T210" s="842">
        <v>0</v>
      </c>
      <c r="U210" s="842">
        <v>0</v>
      </c>
      <c r="V210" s="842">
        <v>0</v>
      </c>
      <c r="W210" s="842">
        <v>0</v>
      </c>
      <c r="X210" s="985">
        <v>1</v>
      </c>
    </row>
    <row r="211" spans="1:24" s="330" customFormat="1" ht="47.25">
      <c r="A211" s="838" t="s">
        <v>2469</v>
      </c>
      <c r="B211" s="840" t="s">
        <v>2590</v>
      </c>
      <c r="C211" s="842">
        <v>3000</v>
      </c>
      <c r="D211" s="842">
        <v>0</v>
      </c>
      <c r="E211" s="842">
        <v>3000</v>
      </c>
      <c r="F211" s="842">
        <v>0</v>
      </c>
      <c r="G211" s="842">
        <v>858.87</v>
      </c>
      <c r="H211" s="842">
        <v>0</v>
      </c>
      <c r="I211" s="842">
        <v>0</v>
      </c>
      <c r="J211" s="842">
        <v>0</v>
      </c>
      <c r="K211" s="842">
        <v>0</v>
      </c>
      <c r="L211" s="842">
        <v>0</v>
      </c>
      <c r="M211" s="842">
        <v>0</v>
      </c>
      <c r="N211" s="842">
        <v>0</v>
      </c>
      <c r="O211" s="842">
        <v>0</v>
      </c>
      <c r="P211" s="842">
        <v>858.87</v>
      </c>
      <c r="Q211" s="842">
        <v>0</v>
      </c>
      <c r="R211" s="842">
        <v>0</v>
      </c>
      <c r="S211" s="842">
        <v>0</v>
      </c>
      <c r="T211" s="842">
        <v>0</v>
      </c>
      <c r="U211" s="842">
        <v>0</v>
      </c>
      <c r="V211" s="842">
        <v>0</v>
      </c>
      <c r="W211" s="842">
        <v>0</v>
      </c>
      <c r="X211" s="985">
        <v>0.28628999999999999</v>
      </c>
    </row>
    <row r="212" spans="1:24" s="330" customFormat="1" ht="63">
      <c r="A212" s="838" t="s">
        <v>2469</v>
      </c>
      <c r="B212" s="840" t="s">
        <v>2591</v>
      </c>
      <c r="C212" s="842">
        <v>1000</v>
      </c>
      <c r="D212" s="842">
        <v>1000</v>
      </c>
      <c r="E212" s="842">
        <v>0</v>
      </c>
      <c r="F212" s="842">
        <v>0</v>
      </c>
      <c r="G212" s="842">
        <v>999.956414</v>
      </c>
      <c r="H212" s="842">
        <v>0</v>
      </c>
      <c r="I212" s="842">
        <v>0</v>
      </c>
      <c r="J212" s="842">
        <v>0</v>
      </c>
      <c r="K212" s="842">
        <v>0</v>
      </c>
      <c r="L212" s="842">
        <v>0</v>
      </c>
      <c r="M212" s="842">
        <v>0</v>
      </c>
      <c r="N212" s="842">
        <v>0</v>
      </c>
      <c r="O212" s="842">
        <v>0</v>
      </c>
      <c r="P212" s="842">
        <v>0</v>
      </c>
      <c r="Q212" s="842">
        <v>999.956414</v>
      </c>
      <c r="R212" s="842">
        <v>0</v>
      </c>
      <c r="S212" s="842">
        <v>0</v>
      </c>
      <c r="T212" s="842">
        <v>999.956414</v>
      </c>
      <c r="U212" s="842">
        <v>0</v>
      </c>
      <c r="V212" s="842">
        <v>0</v>
      </c>
      <c r="W212" s="842">
        <v>0</v>
      </c>
      <c r="X212" s="985">
        <v>0.99995641400000002</v>
      </c>
    </row>
    <row r="213" spans="1:24" s="330" customFormat="1" ht="47.25">
      <c r="A213" s="838" t="s">
        <v>2469</v>
      </c>
      <c r="B213" s="840" t="s">
        <v>2592</v>
      </c>
      <c r="C213" s="842">
        <v>3000</v>
      </c>
      <c r="D213" s="842">
        <v>0</v>
      </c>
      <c r="E213" s="842">
        <v>1000</v>
      </c>
      <c r="F213" s="842">
        <v>2000</v>
      </c>
      <c r="G213" s="842">
        <v>3000</v>
      </c>
      <c r="H213" s="842">
        <v>0</v>
      </c>
      <c r="I213" s="842">
        <v>0</v>
      </c>
      <c r="J213" s="842">
        <v>0</v>
      </c>
      <c r="K213" s="842">
        <v>0</v>
      </c>
      <c r="L213" s="842">
        <v>0</v>
      </c>
      <c r="M213" s="842">
        <v>0</v>
      </c>
      <c r="N213" s="842">
        <v>0</v>
      </c>
      <c r="O213" s="842">
        <v>0</v>
      </c>
      <c r="P213" s="842">
        <v>3000</v>
      </c>
      <c r="Q213" s="842">
        <v>0</v>
      </c>
      <c r="R213" s="842">
        <v>0</v>
      </c>
      <c r="S213" s="842">
        <v>0</v>
      </c>
      <c r="T213" s="842">
        <v>0</v>
      </c>
      <c r="U213" s="842">
        <v>0</v>
      </c>
      <c r="V213" s="842">
        <v>0</v>
      </c>
      <c r="W213" s="842">
        <v>0</v>
      </c>
      <c r="X213" s="985">
        <v>1</v>
      </c>
    </row>
    <row r="214" spans="1:24" s="330" customFormat="1" ht="47.25">
      <c r="A214" s="838" t="s">
        <v>2469</v>
      </c>
      <c r="B214" s="840" t="s">
        <v>2593</v>
      </c>
      <c r="C214" s="842">
        <v>1000</v>
      </c>
      <c r="D214" s="842">
        <v>0</v>
      </c>
      <c r="E214" s="842">
        <v>0</v>
      </c>
      <c r="F214" s="842">
        <v>1000</v>
      </c>
      <c r="G214" s="842">
        <v>561.21199999999999</v>
      </c>
      <c r="H214" s="842">
        <v>561.21199999999999</v>
      </c>
      <c r="I214" s="842">
        <v>0</v>
      </c>
      <c r="J214" s="842">
        <v>0</v>
      </c>
      <c r="K214" s="842">
        <v>0</v>
      </c>
      <c r="L214" s="842">
        <v>0</v>
      </c>
      <c r="M214" s="842">
        <v>0</v>
      </c>
      <c r="N214" s="842">
        <v>0</v>
      </c>
      <c r="O214" s="842">
        <v>0</v>
      </c>
      <c r="P214" s="842">
        <v>0</v>
      </c>
      <c r="Q214" s="842">
        <v>0</v>
      </c>
      <c r="R214" s="842">
        <v>0</v>
      </c>
      <c r="S214" s="842">
        <v>0</v>
      </c>
      <c r="T214" s="842">
        <v>0</v>
      </c>
      <c r="U214" s="842">
        <v>0</v>
      </c>
      <c r="V214" s="842">
        <v>0</v>
      </c>
      <c r="W214" s="842">
        <v>0</v>
      </c>
      <c r="X214" s="985">
        <v>0.56121200000000004</v>
      </c>
    </row>
    <row r="215" spans="1:24" s="330" customFormat="1" ht="31.5">
      <c r="A215" s="838" t="s">
        <v>2469</v>
      </c>
      <c r="B215" s="840" t="s">
        <v>2594</v>
      </c>
      <c r="C215" s="842">
        <v>1087.1969999999999</v>
      </c>
      <c r="D215" s="842">
        <v>0</v>
      </c>
      <c r="E215" s="842">
        <v>1087.1969999999999</v>
      </c>
      <c r="F215" s="842">
        <v>0</v>
      </c>
      <c r="G215" s="842">
        <v>1087.1969999999999</v>
      </c>
      <c r="H215" s="842">
        <v>1087.1969999999999</v>
      </c>
      <c r="I215" s="842">
        <v>0</v>
      </c>
      <c r="J215" s="842">
        <v>0</v>
      </c>
      <c r="K215" s="842">
        <v>0</v>
      </c>
      <c r="L215" s="842">
        <v>0</v>
      </c>
      <c r="M215" s="842">
        <v>0</v>
      </c>
      <c r="N215" s="842">
        <v>0</v>
      </c>
      <c r="O215" s="842">
        <v>0</v>
      </c>
      <c r="P215" s="842">
        <v>0</v>
      </c>
      <c r="Q215" s="842">
        <v>0</v>
      </c>
      <c r="R215" s="842">
        <v>0</v>
      </c>
      <c r="S215" s="842">
        <v>0</v>
      </c>
      <c r="T215" s="842">
        <v>0</v>
      </c>
      <c r="U215" s="842">
        <v>0</v>
      </c>
      <c r="V215" s="842">
        <v>0</v>
      </c>
      <c r="W215" s="842">
        <v>0</v>
      </c>
      <c r="X215" s="985">
        <v>1</v>
      </c>
    </row>
    <row r="216" spans="1:24" s="330" customFormat="1" ht="47.25">
      <c r="A216" s="838" t="s">
        <v>2469</v>
      </c>
      <c r="B216" s="840" t="s">
        <v>2595</v>
      </c>
      <c r="C216" s="842">
        <v>1124.47</v>
      </c>
      <c r="D216" s="842">
        <v>0</v>
      </c>
      <c r="E216" s="842">
        <v>1124.47</v>
      </c>
      <c r="F216" s="842">
        <v>0</v>
      </c>
      <c r="G216" s="842">
        <v>214.053</v>
      </c>
      <c r="H216" s="842">
        <v>214.053</v>
      </c>
      <c r="I216" s="842">
        <v>0</v>
      </c>
      <c r="J216" s="842">
        <v>0</v>
      </c>
      <c r="K216" s="842">
        <v>0</v>
      </c>
      <c r="L216" s="842">
        <v>0</v>
      </c>
      <c r="M216" s="842">
        <v>0</v>
      </c>
      <c r="N216" s="842">
        <v>0</v>
      </c>
      <c r="O216" s="842">
        <v>0</v>
      </c>
      <c r="P216" s="842">
        <v>0</v>
      </c>
      <c r="Q216" s="842">
        <v>0</v>
      </c>
      <c r="R216" s="842">
        <v>0</v>
      </c>
      <c r="S216" s="842">
        <v>0</v>
      </c>
      <c r="T216" s="842">
        <v>0</v>
      </c>
      <c r="U216" s="842">
        <v>0</v>
      </c>
      <c r="V216" s="842">
        <v>0</v>
      </c>
      <c r="W216" s="842">
        <v>0</v>
      </c>
      <c r="X216" s="985">
        <v>0.1903590135797309</v>
      </c>
    </row>
    <row r="217" spans="1:24" s="330" customFormat="1" ht="47.25">
      <c r="A217" s="838" t="s">
        <v>2469</v>
      </c>
      <c r="B217" s="840" t="s">
        <v>2596</v>
      </c>
      <c r="C217" s="842">
        <v>1000</v>
      </c>
      <c r="D217" s="842">
        <v>0</v>
      </c>
      <c r="E217" s="842">
        <v>1000</v>
      </c>
      <c r="F217" s="842">
        <v>0</v>
      </c>
      <c r="G217" s="842">
        <v>496.79790000000003</v>
      </c>
      <c r="H217" s="842">
        <v>496.79790000000003</v>
      </c>
      <c r="I217" s="842">
        <v>0</v>
      </c>
      <c r="J217" s="842">
        <v>0</v>
      </c>
      <c r="K217" s="842">
        <v>0</v>
      </c>
      <c r="L217" s="842">
        <v>0</v>
      </c>
      <c r="M217" s="842">
        <v>0</v>
      </c>
      <c r="N217" s="842">
        <v>0</v>
      </c>
      <c r="O217" s="842">
        <v>0</v>
      </c>
      <c r="P217" s="842">
        <v>0</v>
      </c>
      <c r="Q217" s="842">
        <v>0</v>
      </c>
      <c r="R217" s="842">
        <v>0</v>
      </c>
      <c r="S217" s="842">
        <v>0</v>
      </c>
      <c r="T217" s="842">
        <v>0</v>
      </c>
      <c r="U217" s="842">
        <v>0</v>
      </c>
      <c r="V217" s="842">
        <v>0</v>
      </c>
      <c r="W217" s="842">
        <v>0</v>
      </c>
      <c r="X217" s="985">
        <v>0.49679790000000001</v>
      </c>
    </row>
    <row r="218" spans="1:24" s="330" customFormat="1" ht="47.25">
      <c r="A218" s="838" t="s">
        <v>2469</v>
      </c>
      <c r="B218" s="840" t="s">
        <v>2597</v>
      </c>
      <c r="C218" s="842">
        <v>1000</v>
      </c>
      <c r="D218" s="842">
        <v>0</v>
      </c>
      <c r="E218" s="842">
        <v>1000</v>
      </c>
      <c r="F218" s="842">
        <v>0</v>
      </c>
      <c r="G218" s="842">
        <v>286.02429999999998</v>
      </c>
      <c r="H218" s="842">
        <v>286.02429999999998</v>
      </c>
      <c r="I218" s="842">
        <v>0</v>
      </c>
      <c r="J218" s="842">
        <v>0</v>
      </c>
      <c r="K218" s="842">
        <v>0</v>
      </c>
      <c r="L218" s="842">
        <v>0</v>
      </c>
      <c r="M218" s="842">
        <v>0</v>
      </c>
      <c r="N218" s="842">
        <v>0</v>
      </c>
      <c r="O218" s="842">
        <v>0</v>
      </c>
      <c r="P218" s="842">
        <v>0</v>
      </c>
      <c r="Q218" s="842">
        <v>0</v>
      </c>
      <c r="R218" s="842">
        <v>0</v>
      </c>
      <c r="S218" s="842">
        <v>0</v>
      </c>
      <c r="T218" s="842">
        <v>0</v>
      </c>
      <c r="U218" s="842">
        <v>0</v>
      </c>
      <c r="V218" s="842">
        <v>0</v>
      </c>
      <c r="W218" s="842">
        <v>0</v>
      </c>
      <c r="X218" s="985">
        <v>0.28602430000000001</v>
      </c>
    </row>
    <row r="219" spans="1:24" s="330" customFormat="1" ht="31.5">
      <c r="A219" s="838" t="s">
        <v>2469</v>
      </c>
      <c r="B219" s="840" t="s">
        <v>2384</v>
      </c>
      <c r="C219" s="842">
        <v>3000</v>
      </c>
      <c r="D219" s="842">
        <v>0</v>
      </c>
      <c r="E219" s="842">
        <v>3000</v>
      </c>
      <c r="F219" s="842">
        <v>0</v>
      </c>
      <c r="G219" s="842">
        <v>3000</v>
      </c>
      <c r="H219" s="842">
        <v>0</v>
      </c>
      <c r="I219" s="842">
        <v>0</v>
      </c>
      <c r="J219" s="842">
        <v>0</v>
      </c>
      <c r="K219" s="842">
        <v>0</v>
      </c>
      <c r="L219" s="842">
        <v>0</v>
      </c>
      <c r="M219" s="842">
        <v>0</v>
      </c>
      <c r="N219" s="842">
        <v>0</v>
      </c>
      <c r="O219" s="842">
        <v>0</v>
      </c>
      <c r="P219" s="842">
        <v>0</v>
      </c>
      <c r="Q219" s="842">
        <v>3000</v>
      </c>
      <c r="R219" s="842">
        <v>0</v>
      </c>
      <c r="S219" s="842">
        <v>0</v>
      </c>
      <c r="T219" s="842">
        <v>3000</v>
      </c>
      <c r="U219" s="842">
        <v>0</v>
      </c>
      <c r="V219" s="842">
        <v>0</v>
      </c>
      <c r="W219" s="842">
        <v>0</v>
      </c>
      <c r="X219" s="985">
        <v>1</v>
      </c>
    </row>
    <row r="220" spans="1:24" s="330" customFormat="1" ht="31.5">
      <c r="A220" s="838" t="s">
        <v>2469</v>
      </c>
      <c r="B220" s="840" t="s">
        <v>2598</v>
      </c>
      <c r="C220" s="842">
        <v>2000</v>
      </c>
      <c r="D220" s="842">
        <v>0</v>
      </c>
      <c r="E220" s="842">
        <v>2000</v>
      </c>
      <c r="F220" s="842">
        <v>0</v>
      </c>
      <c r="G220" s="842">
        <v>1560.4459999999999</v>
      </c>
      <c r="H220" s="842">
        <v>1560.4459999999999</v>
      </c>
      <c r="I220" s="842">
        <v>0</v>
      </c>
      <c r="J220" s="842">
        <v>0</v>
      </c>
      <c r="K220" s="842">
        <v>0</v>
      </c>
      <c r="L220" s="842">
        <v>0</v>
      </c>
      <c r="M220" s="842">
        <v>0</v>
      </c>
      <c r="N220" s="842">
        <v>0</v>
      </c>
      <c r="O220" s="842">
        <v>0</v>
      </c>
      <c r="P220" s="842">
        <v>0</v>
      </c>
      <c r="Q220" s="842">
        <v>0</v>
      </c>
      <c r="R220" s="842">
        <v>0</v>
      </c>
      <c r="S220" s="842">
        <v>0</v>
      </c>
      <c r="T220" s="842">
        <v>0</v>
      </c>
      <c r="U220" s="842">
        <v>0</v>
      </c>
      <c r="V220" s="842">
        <v>0</v>
      </c>
      <c r="W220" s="842">
        <v>0</v>
      </c>
      <c r="X220" s="985">
        <v>0.780223</v>
      </c>
    </row>
    <row r="221" spans="1:24" s="330" customFormat="1" ht="31.5">
      <c r="A221" s="838" t="s">
        <v>2469</v>
      </c>
      <c r="B221" s="840" t="s">
        <v>2599</v>
      </c>
      <c r="C221" s="842">
        <v>3000</v>
      </c>
      <c r="D221" s="842">
        <v>0</v>
      </c>
      <c r="E221" s="842">
        <v>3000</v>
      </c>
      <c r="F221" s="842">
        <v>0</v>
      </c>
      <c r="G221" s="842">
        <v>1034.7829999999999</v>
      </c>
      <c r="H221" s="842">
        <v>0</v>
      </c>
      <c r="I221" s="842">
        <v>0</v>
      </c>
      <c r="J221" s="842">
        <v>0</v>
      </c>
      <c r="K221" s="842">
        <v>0</v>
      </c>
      <c r="L221" s="842">
        <v>0</v>
      </c>
      <c r="M221" s="842">
        <v>1034.7829999999999</v>
      </c>
      <c r="N221" s="842">
        <v>0</v>
      </c>
      <c r="O221" s="842">
        <v>0</v>
      </c>
      <c r="P221" s="842">
        <v>0</v>
      </c>
      <c r="Q221" s="842">
        <v>0</v>
      </c>
      <c r="R221" s="842">
        <v>0</v>
      </c>
      <c r="S221" s="842">
        <v>0</v>
      </c>
      <c r="T221" s="842">
        <v>0</v>
      </c>
      <c r="U221" s="842">
        <v>0</v>
      </c>
      <c r="V221" s="842">
        <v>0</v>
      </c>
      <c r="W221" s="842">
        <v>0</v>
      </c>
      <c r="X221" s="985">
        <v>0.34492766666666663</v>
      </c>
    </row>
    <row r="222" spans="1:24" s="330" customFormat="1" ht="47.25">
      <c r="A222" s="838" t="s">
        <v>2469</v>
      </c>
      <c r="B222" s="840" t="s">
        <v>2600</v>
      </c>
      <c r="C222" s="842">
        <v>300</v>
      </c>
      <c r="D222" s="842">
        <v>0</v>
      </c>
      <c r="E222" s="842">
        <v>300</v>
      </c>
      <c r="F222" s="842">
        <v>0</v>
      </c>
      <c r="G222" s="842">
        <v>300</v>
      </c>
      <c r="H222" s="842">
        <v>300</v>
      </c>
      <c r="I222" s="842">
        <v>0</v>
      </c>
      <c r="J222" s="842">
        <v>0</v>
      </c>
      <c r="K222" s="842">
        <v>0</v>
      </c>
      <c r="L222" s="842">
        <v>0</v>
      </c>
      <c r="M222" s="842">
        <v>0</v>
      </c>
      <c r="N222" s="842">
        <v>0</v>
      </c>
      <c r="O222" s="842">
        <v>0</v>
      </c>
      <c r="P222" s="842">
        <v>0</v>
      </c>
      <c r="Q222" s="842">
        <v>0</v>
      </c>
      <c r="R222" s="842">
        <v>0</v>
      </c>
      <c r="S222" s="842">
        <v>0</v>
      </c>
      <c r="T222" s="842">
        <v>0</v>
      </c>
      <c r="U222" s="842">
        <v>0</v>
      </c>
      <c r="V222" s="842">
        <v>0</v>
      </c>
      <c r="W222" s="842">
        <v>0</v>
      </c>
      <c r="X222" s="985">
        <v>1</v>
      </c>
    </row>
    <row r="223" spans="1:24" s="330" customFormat="1" ht="31.5">
      <c r="A223" s="838" t="s">
        <v>2469</v>
      </c>
      <c r="B223" s="840" t="s">
        <v>2601</v>
      </c>
      <c r="C223" s="842">
        <v>1000</v>
      </c>
      <c r="D223" s="842">
        <v>0</v>
      </c>
      <c r="E223" s="842">
        <v>0</v>
      </c>
      <c r="F223" s="842">
        <v>1000</v>
      </c>
      <c r="G223" s="842">
        <v>814.22199999999998</v>
      </c>
      <c r="H223" s="842">
        <v>814.22199999999998</v>
      </c>
      <c r="I223" s="842">
        <v>0</v>
      </c>
      <c r="J223" s="842">
        <v>0</v>
      </c>
      <c r="K223" s="842">
        <v>0</v>
      </c>
      <c r="L223" s="842">
        <v>0</v>
      </c>
      <c r="M223" s="842">
        <v>0</v>
      </c>
      <c r="N223" s="842">
        <v>0</v>
      </c>
      <c r="O223" s="842">
        <v>0</v>
      </c>
      <c r="P223" s="842">
        <v>0</v>
      </c>
      <c r="Q223" s="842">
        <v>0</v>
      </c>
      <c r="R223" s="842">
        <v>0</v>
      </c>
      <c r="S223" s="842">
        <v>0</v>
      </c>
      <c r="T223" s="842">
        <v>0</v>
      </c>
      <c r="U223" s="842">
        <v>0</v>
      </c>
      <c r="V223" s="842">
        <v>0</v>
      </c>
      <c r="W223" s="842">
        <v>0</v>
      </c>
      <c r="X223" s="985">
        <v>0.814222</v>
      </c>
    </row>
    <row r="224" spans="1:24" s="330" customFormat="1" ht="31.5">
      <c r="A224" s="838" t="s">
        <v>2469</v>
      </c>
      <c r="B224" s="840" t="s">
        <v>2602</v>
      </c>
      <c r="C224" s="842">
        <v>2000</v>
      </c>
      <c r="D224" s="842">
        <v>0</v>
      </c>
      <c r="E224" s="842">
        <v>2000</v>
      </c>
      <c r="F224" s="842">
        <v>0</v>
      </c>
      <c r="G224" s="842">
        <v>1665</v>
      </c>
      <c r="H224" s="842">
        <v>0</v>
      </c>
      <c r="I224" s="842">
        <v>0</v>
      </c>
      <c r="J224" s="842">
        <v>0</v>
      </c>
      <c r="K224" s="842">
        <v>0</v>
      </c>
      <c r="L224" s="842">
        <v>0</v>
      </c>
      <c r="M224" s="842">
        <v>0</v>
      </c>
      <c r="N224" s="842">
        <v>0</v>
      </c>
      <c r="O224" s="842">
        <v>0</v>
      </c>
      <c r="P224" s="842">
        <v>0</v>
      </c>
      <c r="Q224" s="842">
        <v>0</v>
      </c>
      <c r="R224" s="842">
        <v>0</v>
      </c>
      <c r="S224" s="842">
        <v>0</v>
      </c>
      <c r="T224" s="842">
        <v>0</v>
      </c>
      <c r="U224" s="842">
        <v>1665</v>
      </c>
      <c r="V224" s="842">
        <v>0</v>
      </c>
      <c r="W224" s="842">
        <v>0</v>
      </c>
      <c r="X224" s="985">
        <v>0.83250000000000002</v>
      </c>
    </row>
    <row r="225" spans="1:24" s="330" customFormat="1" ht="47.25">
      <c r="A225" s="838" t="s">
        <v>2469</v>
      </c>
      <c r="B225" s="840" t="s">
        <v>2603</v>
      </c>
      <c r="C225" s="842">
        <v>1500</v>
      </c>
      <c r="D225" s="842">
        <v>0</v>
      </c>
      <c r="E225" s="842">
        <v>1500</v>
      </c>
      <c r="F225" s="842">
        <v>0</v>
      </c>
      <c r="G225" s="842">
        <v>1132.4280000000001</v>
      </c>
      <c r="H225" s="842">
        <v>0</v>
      </c>
      <c r="I225" s="842">
        <v>0</v>
      </c>
      <c r="J225" s="842">
        <v>0</v>
      </c>
      <c r="K225" s="842">
        <v>0</v>
      </c>
      <c r="L225" s="842">
        <v>1132.4280000000001</v>
      </c>
      <c r="M225" s="842">
        <v>0</v>
      </c>
      <c r="N225" s="842">
        <v>0</v>
      </c>
      <c r="O225" s="842">
        <v>0</v>
      </c>
      <c r="P225" s="842">
        <v>0</v>
      </c>
      <c r="Q225" s="842">
        <v>0</v>
      </c>
      <c r="R225" s="842">
        <v>0</v>
      </c>
      <c r="S225" s="842">
        <v>0</v>
      </c>
      <c r="T225" s="842">
        <v>0</v>
      </c>
      <c r="U225" s="842">
        <v>0</v>
      </c>
      <c r="V225" s="842">
        <v>0</v>
      </c>
      <c r="W225" s="842">
        <v>0</v>
      </c>
      <c r="X225" s="985">
        <v>0.75495200000000007</v>
      </c>
    </row>
    <row r="226" spans="1:24" s="330" customFormat="1" ht="63">
      <c r="A226" s="838" t="s">
        <v>2469</v>
      </c>
      <c r="B226" s="840" t="s">
        <v>2604</v>
      </c>
      <c r="C226" s="842">
        <v>1000</v>
      </c>
      <c r="D226" s="842">
        <v>0</v>
      </c>
      <c r="E226" s="842">
        <v>1000</v>
      </c>
      <c r="F226" s="842">
        <v>0</v>
      </c>
      <c r="G226" s="842">
        <v>570.404</v>
      </c>
      <c r="H226" s="842">
        <v>570.404</v>
      </c>
      <c r="I226" s="842">
        <v>0</v>
      </c>
      <c r="J226" s="842">
        <v>0</v>
      </c>
      <c r="K226" s="842">
        <v>0</v>
      </c>
      <c r="L226" s="842">
        <v>0</v>
      </c>
      <c r="M226" s="842">
        <v>0</v>
      </c>
      <c r="N226" s="842">
        <v>0</v>
      </c>
      <c r="O226" s="842">
        <v>0</v>
      </c>
      <c r="P226" s="842">
        <v>0</v>
      </c>
      <c r="Q226" s="842">
        <v>0</v>
      </c>
      <c r="R226" s="842">
        <v>0</v>
      </c>
      <c r="S226" s="842">
        <v>0</v>
      </c>
      <c r="T226" s="842">
        <v>0</v>
      </c>
      <c r="U226" s="842">
        <v>0</v>
      </c>
      <c r="V226" s="842">
        <v>0</v>
      </c>
      <c r="W226" s="842">
        <v>0</v>
      </c>
      <c r="X226" s="985">
        <v>0.57040400000000002</v>
      </c>
    </row>
    <row r="227" spans="1:24" s="330" customFormat="1" ht="47.25">
      <c r="A227" s="838" t="s">
        <v>2469</v>
      </c>
      <c r="B227" s="840" t="s">
        <v>2605</v>
      </c>
      <c r="C227" s="842">
        <v>2400</v>
      </c>
      <c r="D227" s="842">
        <v>0</v>
      </c>
      <c r="E227" s="842">
        <v>1400</v>
      </c>
      <c r="F227" s="842">
        <v>1000</v>
      </c>
      <c r="G227" s="842">
        <v>2400</v>
      </c>
      <c r="H227" s="842">
        <v>2400</v>
      </c>
      <c r="I227" s="842">
        <v>0</v>
      </c>
      <c r="J227" s="842">
        <v>0</v>
      </c>
      <c r="K227" s="842">
        <v>0</v>
      </c>
      <c r="L227" s="842">
        <v>0</v>
      </c>
      <c r="M227" s="842">
        <v>0</v>
      </c>
      <c r="N227" s="842">
        <v>0</v>
      </c>
      <c r="O227" s="842">
        <v>0</v>
      </c>
      <c r="P227" s="842">
        <v>0</v>
      </c>
      <c r="Q227" s="842">
        <v>0</v>
      </c>
      <c r="R227" s="842">
        <v>0</v>
      </c>
      <c r="S227" s="842">
        <v>0</v>
      </c>
      <c r="T227" s="842">
        <v>0</v>
      </c>
      <c r="U227" s="842">
        <v>0</v>
      </c>
      <c r="V227" s="842">
        <v>0</v>
      </c>
      <c r="W227" s="842">
        <v>0</v>
      </c>
      <c r="X227" s="985">
        <v>1</v>
      </c>
    </row>
    <row r="228" spans="1:24" s="330" customFormat="1" ht="31.5">
      <c r="A228" s="838" t="s">
        <v>2469</v>
      </c>
      <c r="B228" s="840" t="s">
        <v>2606</v>
      </c>
      <c r="C228" s="842">
        <v>1200</v>
      </c>
      <c r="D228" s="842">
        <v>0</v>
      </c>
      <c r="E228" s="842">
        <v>1200</v>
      </c>
      <c r="F228" s="842">
        <v>0</v>
      </c>
      <c r="G228" s="842">
        <v>1200</v>
      </c>
      <c r="H228" s="842">
        <v>0</v>
      </c>
      <c r="I228" s="842">
        <v>0</v>
      </c>
      <c r="J228" s="842">
        <v>0</v>
      </c>
      <c r="K228" s="842">
        <v>1200</v>
      </c>
      <c r="L228" s="842">
        <v>0</v>
      </c>
      <c r="M228" s="842">
        <v>0</v>
      </c>
      <c r="N228" s="842">
        <v>0</v>
      </c>
      <c r="O228" s="842">
        <v>0</v>
      </c>
      <c r="P228" s="842">
        <v>0</v>
      </c>
      <c r="Q228" s="842">
        <v>0</v>
      </c>
      <c r="R228" s="842">
        <v>0</v>
      </c>
      <c r="S228" s="842">
        <v>0</v>
      </c>
      <c r="T228" s="842">
        <v>0</v>
      </c>
      <c r="U228" s="842">
        <v>0</v>
      </c>
      <c r="V228" s="842">
        <v>0</v>
      </c>
      <c r="W228" s="842">
        <v>0</v>
      </c>
      <c r="X228" s="985">
        <v>1</v>
      </c>
    </row>
    <row r="229" spans="1:24" s="330" customFormat="1" ht="31.5">
      <c r="A229" s="838" t="s">
        <v>2469</v>
      </c>
      <c r="B229" s="840" t="s">
        <v>2607</v>
      </c>
      <c r="C229" s="842">
        <v>248</v>
      </c>
      <c r="D229" s="842">
        <v>0</v>
      </c>
      <c r="E229" s="842">
        <v>248</v>
      </c>
      <c r="F229" s="842">
        <v>0</v>
      </c>
      <c r="G229" s="842">
        <v>247.59200000000001</v>
      </c>
      <c r="H229" s="842">
        <v>0</v>
      </c>
      <c r="I229" s="842">
        <v>0</v>
      </c>
      <c r="J229" s="842">
        <v>0</v>
      </c>
      <c r="K229" s="842">
        <v>0</v>
      </c>
      <c r="L229" s="842">
        <v>0</v>
      </c>
      <c r="M229" s="842">
        <v>0</v>
      </c>
      <c r="N229" s="842">
        <v>0</v>
      </c>
      <c r="O229" s="842">
        <v>0</v>
      </c>
      <c r="P229" s="842">
        <v>247.59200000000001</v>
      </c>
      <c r="Q229" s="842">
        <v>0</v>
      </c>
      <c r="R229" s="842">
        <v>0</v>
      </c>
      <c r="S229" s="842">
        <v>0</v>
      </c>
      <c r="T229" s="842">
        <v>0</v>
      </c>
      <c r="U229" s="842">
        <v>0</v>
      </c>
      <c r="V229" s="842">
        <v>0</v>
      </c>
      <c r="W229" s="842">
        <v>0</v>
      </c>
      <c r="X229" s="985">
        <v>0.99835483870967745</v>
      </c>
    </row>
    <row r="230" spans="1:24" s="330" customFormat="1" ht="47.25">
      <c r="A230" s="838" t="s">
        <v>2469</v>
      </c>
      <c r="B230" s="840" t="s">
        <v>2608</v>
      </c>
      <c r="C230" s="842">
        <v>1000</v>
      </c>
      <c r="D230" s="842">
        <v>0</v>
      </c>
      <c r="E230" s="842">
        <v>1000</v>
      </c>
      <c r="F230" s="842">
        <v>0</v>
      </c>
      <c r="G230" s="842">
        <v>1000</v>
      </c>
      <c r="H230" s="842">
        <v>1000</v>
      </c>
      <c r="I230" s="842">
        <v>0</v>
      </c>
      <c r="J230" s="842">
        <v>0</v>
      </c>
      <c r="K230" s="842">
        <v>0</v>
      </c>
      <c r="L230" s="842">
        <v>0</v>
      </c>
      <c r="M230" s="842">
        <v>0</v>
      </c>
      <c r="N230" s="842">
        <v>0</v>
      </c>
      <c r="O230" s="842">
        <v>0</v>
      </c>
      <c r="P230" s="842">
        <v>0</v>
      </c>
      <c r="Q230" s="842">
        <v>0</v>
      </c>
      <c r="R230" s="842">
        <v>0</v>
      </c>
      <c r="S230" s="842">
        <v>0</v>
      </c>
      <c r="T230" s="842">
        <v>0</v>
      </c>
      <c r="U230" s="842">
        <v>0</v>
      </c>
      <c r="V230" s="842">
        <v>0</v>
      </c>
      <c r="W230" s="842">
        <v>0</v>
      </c>
      <c r="X230" s="985">
        <v>1</v>
      </c>
    </row>
    <row r="231" spans="1:24" s="330" customFormat="1" ht="63">
      <c r="A231" s="838" t="s">
        <v>2469</v>
      </c>
      <c r="B231" s="840" t="s">
        <v>2609</v>
      </c>
      <c r="C231" s="842">
        <v>2000</v>
      </c>
      <c r="D231" s="842">
        <v>0</v>
      </c>
      <c r="E231" s="842">
        <v>2000</v>
      </c>
      <c r="F231" s="842">
        <v>0</v>
      </c>
      <c r="G231" s="842">
        <v>2000</v>
      </c>
      <c r="H231" s="842">
        <v>0</v>
      </c>
      <c r="I231" s="842">
        <v>0</v>
      </c>
      <c r="J231" s="842">
        <v>0</v>
      </c>
      <c r="K231" s="842">
        <v>0</v>
      </c>
      <c r="L231" s="842">
        <v>2000</v>
      </c>
      <c r="M231" s="842">
        <v>0</v>
      </c>
      <c r="N231" s="842">
        <v>0</v>
      </c>
      <c r="O231" s="842">
        <v>0</v>
      </c>
      <c r="P231" s="842">
        <v>0</v>
      </c>
      <c r="Q231" s="842">
        <v>0</v>
      </c>
      <c r="R231" s="842">
        <v>0</v>
      </c>
      <c r="S231" s="842">
        <v>0</v>
      </c>
      <c r="T231" s="842">
        <v>0</v>
      </c>
      <c r="U231" s="842">
        <v>0</v>
      </c>
      <c r="V231" s="842">
        <v>0</v>
      </c>
      <c r="W231" s="842">
        <v>0</v>
      </c>
      <c r="X231" s="985">
        <v>1</v>
      </c>
    </row>
    <row r="232" spans="1:24" s="330" customFormat="1" ht="47.25">
      <c r="A232" s="838" t="s">
        <v>2469</v>
      </c>
      <c r="B232" s="840" t="s">
        <v>2610</v>
      </c>
      <c r="C232" s="842">
        <v>1500</v>
      </c>
      <c r="D232" s="842">
        <v>0</v>
      </c>
      <c r="E232" s="842">
        <v>1500</v>
      </c>
      <c r="F232" s="842">
        <v>0</v>
      </c>
      <c r="G232" s="842">
        <v>443.62700000000001</v>
      </c>
      <c r="H232" s="842">
        <v>443.62700000000001</v>
      </c>
      <c r="I232" s="842">
        <v>0</v>
      </c>
      <c r="J232" s="842">
        <v>0</v>
      </c>
      <c r="K232" s="842">
        <v>0</v>
      </c>
      <c r="L232" s="842">
        <v>0</v>
      </c>
      <c r="M232" s="842">
        <v>0</v>
      </c>
      <c r="N232" s="842">
        <v>0</v>
      </c>
      <c r="O232" s="842">
        <v>0</v>
      </c>
      <c r="P232" s="842">
        <v>0</v>
      </c>
      <c r="Q232" s="842">
        <v>0</v>
      </c>
      <c r="R232" s="842">
        <v>0</v>
      </c>
      <c r="S232" s="842">
        <v>0</v>
      </c>
      <c r="T232" s="842">
        <v>0</v>
      </c>
      <c r="U232" s="842">
        <v>0</v>
      </c>
      <c r="V232" s="842">
        <v>0</v>
      </c>
      <c r="W232" s="842">
        <v>0</v>
      </c>
      <c r="X232" s="985">
        <v>0.29575133333333337</v>
      </c>
    </row>
    <row r="233" spans="1:24" s="330" customFormat="1" ht="47.25">
      <c r="A233" s="838" t="s">
        <v>2469</v>
      </c>
      <c r="B233" s="840" t="s">
        <v>2611</v>
      </c>
      <c r="C233" s="842">
        <v>1300</v>
      </c>
      <c r="D233" s="842">
        <v>0</v>
      </c>
      <c r="E233" s="842">
        <v>1300</v>
      </c>
      <c r="F233" s="842">
        <v>0</v>
      </c>
      <c r="G233" s="842">
        <v>486.59800000000001</v>
      </c>
      <c r="H233" s="842">
        <v>486.59800000000001</v>
      </c>
      <c r="I233" s="842">
        <v>0</v>
      </c>
      <c r="J233" s="842">
        <v>0</v>
      </c>
      <c r="K233" s="842">
        <v>0</v>
      </c>
      <c r="L233" s="842">
        <v>0</v>
      </c>
      <c r="M233" s="842">
        <v>0</v>
      </c>
      <c r="N233" s="842">
        <v>0</v>
      </c>
      <c r="O233" s="842">
        <v>0</v>
      </c>
      <c r="P233" s="842">
        <v>0</v>
      </c>
      <c r="Q233" s="842">
        <v>0</v>
      </c>
      <c r="R233" s="842">
        <v>0</v>
      </c>
      <c r="S233" s="842">
        <v>0</v>
      </c>
      <c r="T233" s="842">
        <v>0</v>
      </c>
      <c r="U233" s="842">
        <v>0</v>
      </c>
      <c r="V233" s="842">
        <v>0</v>
      </c>
      <c r="W233" s="842">
        <v>0</v>
      </c>
      <c r="X233" s="985">
        <v>0.37430615384615384</v>
      </c>
    </row>
    <row r="234" spans="1:24" s="330" customFormat="1" ht="63">
      <c r="A234" s="838" t="s">
        <v>2469</v>
      </c>
      <c r="B234" s="840" t="s">
        <v>2612</v>
      </c>
      <c r="C234" s="842">
        <v>2000</v>
      </c>
      <c r="D234" s="842">
        <v>0</v>
      </c>
      <c r="E234" s="842">
        <v>2000</v>
      </c>
      <c r="F234" s="842">
        <v>0</v>
      </c>
      <c r="G234" s="842">
        <v>1200</v>
      </c>
      <c r="H234" s="842">
        <v>0</v>
      </c>
      <c r="I234" s="842">
        <v>0</v>
      </c>
      <c r="J234" s="842">
        <v>0</v>
      </c>
      <c r="K234" s="842">
        <v>0</v>
      </c>
      <c r="L234" s="842">
        <v>1200</v>
      </c>
      <c r="M234" s="842">
        <v>0</v>
      </c>
      <c r="N234" s="842">
        <v>0</v>
      </c>
      <c r="O234" s="842">
        <v>0</v>
      </c>
      <c r="P234" s="842">
        <v>0</v>
      </c>
      <c r="Q234" s="842">
        <v>0</v>
      </c>
      <c r="R234" s="842">
        <v>0</v>
      </c>
      <c r="S234" s="842">
        <v>0</v>
      </c>
      <c r="T234" s="842">
        <v>0</v>
      </c>
      <c r="U234" s="842">
        <v>0</v>
      </c>
      <c r="V234" s="842">
        <v>0</v>
      </c>
      <c r="W234" s="842">
        <v>0</v>
      </c>
      <c r="X234" s="985">
        <v>0.6</v>
      </c>
    </row>
    <row r="235" spans="1:24" s="330" customFormat="1" ht="47.25">
      <c r="A235" s="838" t="s">
        <v>2469</v>
      </c>
      <c r="B235" s="840" t="s">
        <v>2614</v>
      </c>
      <c r="C235" s="842">
        <v>1500</v>
      </c>
      <c r="D235" s="842">
        <v>0</v>
      </c>
      <c r="E235" s="842">
        <v>1500</v>
      </c>
      <c r="F235" s="842">
        <v>0</v>
      </c>
      <c r="G235" s="842">
        <v>1500</v>
      </c>
      <c r="H235" s="842">
        <v>0</v>
      </c>
      <c r="I235" s="842">
        <v>0</v>
      </c>
      <c r="J235" s="842">
        <v>0</v>
      </c>
      <c r="K235" s="842">
        <v>0</v>
      </c>
      <c r="L235" s="842">
        <v>0</v>
      </c>
      <c r="M235" s="842">
        <v>0</v>
      </c>
      <c r="N235" s="842">
        <v>0</v>
      </c>
      <c r="O235" s="842">
        <v>0</v>
      </c>
      <c r="P235" s="842">
        <v>0</v>
      </c>
      <c r="Q235" s="842">
        <v>1500</v>
      </c>
      <c r="R235" s="842">
        <v>0</v>
      </c>
      <c r="S235" s="842">
        <v>0</v>
      </c>
      <c r="T235" s="842">
        <v>1500</v>
      </c>
      <c r="U235" s="842">
        <v>0</v>
      </c>
      <c r="V235" s="842">
        <v>0</v>
      </c>
      <c r="W235" s="842">
        <v>0</v>
      </c>
      <c r="X235" s="985">
        <v>1</v>
      </c>
    </row>
    <row r="236" spans="1:24" s="330" customFormat="1" ht="47.25">
      <c r="A236" s="838" t="s">
        <v>2469</v>
      </c>
      <c r="B236" s="840" t="s">
        <v>2615</v>
      </c>
      <c r="C236" s="842">
        <v>1000</v>
      </c>
      <c r="D236" s="842">
        <v>0</v>
      </c>
      <c r="E236" s="842">
        <v>0</v>
      </c>
      <c r="F236" s="842">
        <v>1000</v>
      </c>
      <c r="G236" s="842">
        <v>1000</v>
      </c>
      <c r="H236" s="842">
        <v>0</v>
      </c>
      <c r="I236" s="842">
        <v>0</v>
      </c>
      <c r="J236" s="842">
        <v>0</v>
      </c>
      <c r="K236" s="842">
        <v>0</v>
      </c>
      <c r="L236" s="842">
        <v>0</v>
      </c>
      <c r="M236" s="842">
        <v>0</v>
      </c>
      <c r="N236" s="842">
        <v>0</v>
      </c>
      <c r="O236" s="842">
        <v>0</v>
      </c>
      <c r="P236" s="842">
        <v>0</v>
      </c>
      <c r="Q236" s="842">
        <v>1000</v>
      </c>
      <c r="R236" s="842">
        <v>0</v>
      </c>
      <c r="S236" s="842">
        <v>0</v>
      </c>
      <c r="T236" s="842">
        <v>1000</v>
      </c>
      <c r="U236" s="842">
        <v>0</v>
      </c>
      <c r="V236" s="842">
        <v>0</v>
      </c>
      <c r="W236" s="842">
        <v>0</v>
      </c>
      <c r="X236" s="985">
        <v>1</v>
      </c>
    </row>
    <row r="237" spans="1:24" s="330" customFormat="1" ht="47.25">
      <c r="A237" s="838" t="s">
        <v>2469</v>
      </c>
      <c r="B237" s="840" t="s">
        <v>2616</v>
      </c>
      <c r="C237" s="842">
        <v>3400</v>
      </c>
      <c r="D237" s="842">
        <v>0</v>
      </c>
      <c r="E237" s="842">
        <v>0</v>
      </c>
      <c r="F237" s="842">
        <v>3400</v>
      </c>
      <c r="G237" s="842">
        <v>698.71780000000001</v>
      </c>
      <c r="H237" s="842">
        <v>0</v>
      </c>
      <c r="I237" s="842">
        <v>0</v>
      </c>
      <c r="J237" s="842">
        <v>0</v>
      </c>
      <c r="K237" s="842">
        <v>0</v>
      </c>
      <c r="L237" s="842">
        <v>0</v>
      </c>
      <c r="M237" s="842">
        <v>0</v>
      </c>
      <c r="N237" s="842">
        <v>0</v>
      </c>
      <c r="O237" s="842">
        <v>0</v>
      </c>
      <c r="P237" s="842">
        <v>0</v>
      </c>
      <c r="Q237" s="842">
        <v>698.71780000000001</v>
      </c>
      <c r="R237" s="842">
        <v>0</v>
      </c>
      <c r="S237" s="842">
        <v>0</v>
      </c>
      <c r="T237" s="842">
        <v>698.71780000000001</v>
      </c>
      <c r="U237" s="842">
        <v>0</v>
      </c>
      <c r="V237" s="842">
        <v>0</v>
      </c>
      <c r="W237" s="842">
        <v>0</v>
      </c>
      <c r="X237" s="985">
        <v>0.20550523529411766</v>
      </c>
    </row>
    <row r="238" spans="1:24" s="330" customFormat="1" ht="47.25">
      <c r="A238" s="838" t="s">
        <v>2469</v>
      </c>
      <c r="B238" s="840" t="s">
        <v>2617</v>
      </c>
      <c r="C238" s="842">
        <v>295.12599999999998</v>
      </c>
      <c r="D238" s="842">
        <v>0</v>
      </c>
      <c r="E238" s="842">
        <v>0</v>
      </c>
      <c r="F238" s="842">
        <v>295.12599999999998</v>
      </c>
      <c r="G238" s="842">
        <v>295.12599999999998</v>
      </c>
      <c r="H238" s="842">
        <v>0</v>
      </c>
      <c r="I238" s="842">
        <v>0</v>
      </c>
      <c r="J238" s="842">
        <v>0</v>
      </c>
      <c r="K238" s="842">
        <v>0</v>
      </c>
      <c r="L238" s="842">
        <v>0</v>
      </c>
      <c r="M238" s="842">
        <v>0</v>
      </c>
      <c r="N238" s="842">
        <v>0</v>
      </c>
      <c r="O238" s="842">
        <v>0</v>
      </c>
      <c r="P238" s="842">
        <v>0</v>
      </c>
      <c r="Q238" s="842">
        <v>295.12599999999998</v>
      </c>
      <c r="R238" s="842">
        <v>0</v>
      </c>
      <c r="S238" s="842">
        <v>0</v>
      </c>
      <c r="T238" s="842">
        <v>295.12599999999998</v>
      </c>
      <c r="U238" s="842">
        <v>0</v>
      </c>
      <c r="V238" s="842">
        <v>0</v>
      </c>
      <c r="W238" s="842">
        <v>0</v>
      </c>
      <c r="X238" s="985">
        <v>1</v>
      </c>
    </row>
    <row r="239" spans="1:24" s="330" customFormat="1" ht="47.25">
      <c r="A239" s="838" t="s">
        <v>2469</v>
      </c>
      <c r="B239" s="840" t="s">
        <v>2618</v>
      </c>
      <c r="C239" s="842">
        <v>279</v>
      </c>
      <c r="D239" s="842">
        <v>0</v>
      </c>
      <c r="E239" s="842">
        <v>0</v>
      </c>
      <c r="F239" s="842">
        <v>279</v>
      </c>
      <c r="G239" s="842">
        <v>241.68299999999999</v>
      </c>
      <c r="H239" s="842">
        <v>0</v>
      </c>
      <c r="I239" s="842">
        <v>0</v>
      </c>
      <c r="J239" s="842">
        <v>0</v>
      </c>
      <c r="K239" s="842">
        <v>0</v>
      </c>
      <c r="L239" s="842">
        <v>0</v>
      </c>
      <c r="M239" s="842">
        <v>0</v>
      </c>
      <c r="N239" s="842">
        <v>0</v>
      </c>
      <c r="O239" s="842">
        <v>0</v>
      </c>
      <c r="P239" s="842">
        <v>0</v>
      </c>
      <c r="Q239" s="842">
        <v>241.68299999999999</v>
      </c>
      <c r="R239" s="842">
        <v>0</v>
      </c>
      <c r="S239" s="842">
        <v>0</v>
      </c>
      <c r="T239" s="842">
        <v>241.68299999999999</v>
      </c>
      <c r="U239" s="842">
        <v>0</v>
      </c>
      <c r="V239" s="842">
        <v>0</v>
      </c>
      <c r="W239" s="842">
        <v>0</v>
      </c>
      <c r="X239" s="985">
        <v>0.866247311827957</v>
      </c>
    </row>
    <row r="240" spans="1:24" s="330" customFormat="1" ht="47.25">
      <c r="A240" s="838" t="s">
        <v>2469</v>
      </c>
      <c r="B240" s="840" t="s">
        <v>2619</v>
      </c>
      <c r="C240" s="842">
        <v>1000</v>
      </c>
      <c r="D240" s="842">
        <v>0</v>
      </c>
      <c r="E240" s="842">
        <v>0</v>
      </c>
      <c r="F240" s="842">
        <v>1000</v>
      </c>
      <c r="G240" s="842">
        <v>735</v>
      </c>
      <c r="H240" s="842">
        <v>0</v>
      </c>
      <c r="I240" s="842">
        <v>0</v>
      </c>
      <c r="J240" s="842">
        <v>0</v>
      </c>
      <c r="K240" s="842">
        <v>0</v>
      </c>
      <c r="L240" s="842">
        <v>0</v>
      </c>
      <c r="M240" s="842">
        <v>0</v>
      </c>
      <c r="N240" s="842">
        <v>0</v>
      </c>
      <c r="O240" s="842">
        <v>0</v>
      </c>
      <c r="P240" s="842">
        <v>0</v>
      </c>
      <c r="Q240" s="842">
        <v>735</v>
      </c>
      <c r="R240" s="842">
        <v>0</v>
      </c>
      <c r="S240" s="842">
        <v>0</v>
      </c>
      <c r="T240" s="842">
        <v>735</v>
      </c>
      <c r="U240" s="842">
        <v>0</v>
      </c>
      <c r="V240" s="842">
        <v>0</v>
      </c>
      <c r="W240" s="842">
        <v>0</v>
      </c>
      <c r="X240" s="985">
        <v>0.73499999999999999</v>
      </c>
    </row>
    <row r="241" spans="1:24" s="330" customFormat="1" ht="47.25">
      <c r="A241" s="838" t="s">
        <v>2469</v>
      </c>
      <c r="B241" s="840" t="s">
        <v>2620</v>
      </c>
      <c r="C241" s="842">
        <v>1050</v>
      </c>
      <c r="D241" s="842">
        <v>0</v>
      </c>
      <c r="E241" s="842">
        <v>0</v>
      </c>
      <c r="F241" s="842">
        <v>1050</v>
      </c>
      <c r="G241" s="842">
        <v>508.06299999999999</v>
      </c>
      <c r="H241" s="842">
        <v>0</v>
      </c>
      <c r="I241" s="842">
        <v>0</v>
      </c>
      <c r="J241" s="842">
        <v>0</v>
      </c>
      <c r="K241" s="842">
        <v>0</v>
      </c>
      <c r="L241" s="842">
        <v>0</v>
      </c>
      <c r="M241" s="842">
        <v>0</v>
      </c>
      <c r="N241" s="842">
        <v>0</v>
      </c>
      <c r="O241" s="842">
        <v>0</v>
      </c>
      <c r="P241" s="842">
        <v>0</v>
      </c>
      <c r="Q241" s="842">
        <v>508.06299999999999</v>
      </c>
      <c r="R241" s="842">
        <v>508.06299999999999</v>
      </c>
      <c r="S241" s="842">
        <v>0</v>
      </c>
      <c r="T241" s="842">
        <v>0</v>
      </c>
      <c r="U241" s="842">
        <v>0</v>
      </c>
      <c r="V241" s="842">
        <v>0</v>
      </c>
      <c r="W241" s="842">
        <v>0</v>
      </c>
      <c r="X241" s="985">
        <v>0.4838695238095238</v>
      </c>
    </row>
    <row r="242" spans="1:24" s="330" customFormat="1" ht="63">
      <c r="A242" s="838" t="s">
        <v>2469</v>
      </c>
      <c r="B242" s="840" t="s">
        <v>2621</v>
      </c>
      <c r="C242" s="842">
        <v>2000</v>
      </c>
      <c r="D242" s="842">
        <v>0</v>
      </c>
      <c r="E242" s="842">
        <v>0</v>
      </c>
      <c r="F242" s="842">
        <v>2000</v>
      </c>
      <c r="G242" s="842">
        <v>226.899</v>
      </c>
      <c r="H242" s="842">
        <v>0</v>
      </c>
      <c r="I242" s="842">
        <v>0</v>
      </c>
      <c r="J242" s="842">
        <v>0</v>
      </c>
      <c r="K242" s="842">
        <v>0</v>
      </c>
      <c r="L242" s="842">
        <v>0</v>
      </c>
      <c r="M242" s="842">
        <v>0</v>
      </c>
      <c r="N242" s="842">
        <v>0</v>
      </c>
      <c r="O242" s="842">
        <v>0</v>
      </c>
      <c r="P242" s="842">
        <v>0</v>
      </c>
      <c r="Q242" s="842">
        <v>226.899</v>
      </c>
      <c r="R242" s="842">
        <v>226.899</v>
      </c>
      <c r="S242" s="842">
        <v>0</v>
      </c>
      <c r="T242" s="842">
        <v>0</v>
      </c>
      <c r="U242" s="842">
        <v>0</v>
      </c>
      <c r="V242" s="842">
        <v>0</v>
      </c>
      <c r="W242" s="842">
        <v>0</v>
      </c>
      <c r="X242" s="985">
        <v>0.11344949999999999</v>
      </c>
    </row>
    <row r="243" spans="1:24" s="330" customFormat="1" ht="63">
      <c r="A243" s="838" t="s">
        <v>2469</v>
      </c>
      <c r="B243" s="840" t="s">
        <v>2622</v>
      </c>
      <c r="C243" s="842">
        <v>1000</v>
      </c>
      <c r="D243" s="842">
        <v>0</v>
      </c>
      <c r="E243" s="842">
        <v>0</v>
      </c>
      <c r="F243" s="842">
        <v>1000</v>
      </c>
      <c r="G243" s="842">
        <v>141.30500000000001</v>
      </c>
      <c r="H243" s="842">
        <v>0</v>
      </c>
      <c r="I243" s="842">
        <v>0</v>
      </c>
      <c r="J243" s="842">
        <v>0</v>
      </c>
      <c r="K243" s="842">
        <v>0</v>
      </c>
      <c r="L243" s="842">
        <v>0</v>
      </c>
      <c r="M243" s="842">
        <v>0</v>
      </c>
      <c r="N243" s="842">
        <v>0</v>
      </c>
      <c r="O243" s="842">
        <v>0</v>
      </c>
      <c r="P243" s="842">
        <v>0</v>
      </c>
      <c r="Q243" s="842">
        <v>141.30500000000001</v>
      </c>
      <c r="R243" s="842">
        <v>141.30500000000001</v>
      </c>
      <c r="S243" s="842">
        <v>0</v>
      </c>
      <c r="T243" s="842">
        <v>0</v>
      </c>
      <c r="U243" s="842">
        <v>0</v>
      </c>
      <c r="V243" s="842">
        <v>0</v>
      </c>
      <c r="W243" s="842">
        <v>0</v>
      </c>
      <c r="X243" s="985">
        <v>0.14130500000000001</v>
      </c>
    </row>
    <row r="244" spans="1:24" s="330" customFormat="1" ht="31.5">
      <c r="A244" s="838" t="s">
        <v>2469</v>
      </c>
      <c r="B244" s="840" t="s">
        <v>2623</v>
      </c>
      <c r="C244" s="842">
        <v>12259.724</v>
      </c>
      <c r="D244" s="842">
        <v>0</v>
      </c>
      <c r="E244" s="842">
        <v>12259.724</v>
      </c>
      <c r="F244" s="842">
        <v>0</v>
      </c>
      <c r="G244" s="842">
        <v>181.89599999999999</v>
      </c>
      <c r="H244" s="842">
        <v>0</v>
      </c>
      <c r="I244" s="842">
        <v>0</v>
      </c>
      <c r="J244" s="842">
        <v>0</v>
      </c>
      <c r="K244" s="842">
        <v>0</v>
      </c>
      <c r="L244" s="842">
        <v>0</v>
      </c>
      <c r="M244" s="842">
        <v>0</v>
      </c>
      <c r="N244" s="842">
        <v>0</v>
      </c>
      <c r="O244" s="842">
        <v>0</v>
      </c>
      <c r="P244" s="842">
        <v>0</v>
      </c>
      <c r="Q244" s="842">
        <v>181.89599999999999</v>
      </c>
      <c r="R244" s="842">
        <v>0</v>
      </c>
      <c r="S244" s="842">
        <v>0</v>
      </c>
      <c r="T244" s="842">
        <v>181.89599999999999</v>
      </c>
      <c r="U244" s="842">
        <v>0</v>
      </c>
      <c r="V244" s="842">
        <v>0</v>
      </c>
      <c r="W244" s="842">
        <v>0</v>
      </c>
      <c r="X244" s="985">
        <v>1.4836875609924007E-2</v>
      </c>
    </row>
    <row r="245" spans="1:24" s="330" customFormat="1" ht="47.25">
      <c r="A245" s="838" t="s">
        <v>2469</v>
      </c>
      <c r="B245" s="840" t="s">
        <v>2624</v>
      </c>
      <c r="C245" s="842">
        <v>1300</v>
      </c>
      <c r="D245" s="842">
        <v>0</v>
      </c>
      <c r="E245" s="842">
        <v>1300</v>
      </c>
      <c r="F245" s="842">
        <v>0</v>
      </c>
      <c r="G245" s="842">
        <v>76.230999999999995</v>
      </c>
      <c r="H245" s="842">
        <v>0</v>
      </c>
      <c r="I245" s="842">
        <v>0</v>
      </c>
      <c r="J245" s="842">
        <v>0</v>
      </c>
      <c r="K245" s="842">
        <v>0</v>
      </c>
      <c r="L245" s="842">
        <v>0</v>
      </c>
      <c r="M245" s="842">
        <v>0</v>
      </c>
      <c r="N245" s="842">
        <v>0</v>
      </c>
      <c r="O245" s="842">
        <v>0</v>
      </c>
      <c r="P245" s="842">
        <v>0</v>
      </c>
      <c r="Q245" s="842">
        <v>76.230999999999995</v>
      </c>
      <c r="R245" s="842">
        <v>0</v>
      </c>
      <c r="S245" s="842">
        <v>0</v>
      </c>
      <c r="T245" s="842">
        <v>76.230999999999995</v>
      </c>
      <c r="U245" s="842">
        <v>0</v>
      </c>
      <c r="V245" s="842">
        <v>0</v>
      </c>
      <c r="W245" s="842">
        <v>0</v>
      </c>
      <c r="X245" s="985">
        <v>5.8639230769230763E-2</v>
      </c>
    </row>
    <row r="246" spans="1:24" s="330" customFormat="1" ht="31.5">
      <c r="A246" s="838" t="s">
        <v>2469</v>
      </c>
      <c r="B246" s="840" t="s">
        <v>2625</v>
      </c>
      <c r="C246" s="842">
        <v>1060</v>
      </c>
      <c r="D246" s="842">
        <v>0</v>
      </c>
      <c r="E246" s="842">
        <v>0</v>
      </c>
      <c r="F246" s="842">
        <v>1060</v>
      </c>
      <c r="G246" s="842">
        <v>201.72200000000001</v>
      </c>
      <c r="H246" s="842">
        <v>0</v>
      </c>
      <c r="I246" s="842">
        <v>0</v>
      </c>
      <c r="J246" s="842">
        <v>0</v>
      </c>
      <c r="K246" s="842">
        <v>0</v>
      </c>
      <c r="L246" s="842">
        <v>0</v>
      </c>
      <c r="M246" s="842">
        <v>201.72200000000001</v>
      </c>
      <c r="N246" s="842">
        <v>0</v>
      </c>
      <c r="O246" s="842">
        <v>0</v>
      </c>
      <c r="P246" s="842">
        <v>0</v>
      </c>
      <c r="Q246" s="842">
        <v>0</v>
      </c>
      <c r="R246" s="842">
        <v>0</v>
      </c>
      <c r="S246" s="842">
        <v>0</v>
      </c>
      <c r="T246" s="842">
        <v>0</v>
      </c>
      <c r="U246" s="842">
        <v>0</v>
      </c>
      <c r="V246" s="842">
        <v>0</v>
      </c>
      <c r="W246" s="842">
        <v>0</v>
      </c>
      <c r="X246" s="985">
        <v>0.19030377358490566</v>
      </c>
    </row>
    <row r="247" spans="1:24" s="330" customFormat="1" ht="47.25">
      <c r="A247" s="838" t="s">
        <v>2469</v>
      </c>
      <c r="B247" s="840" t="s">
        <v>2626</v>
      </c>
      <c r="C247" s="842">
        <v>6.8570000000000002</v>
      </c>
      <c r="D247" s="842">
        <v>0</v>
      </c>
      <c r="E247" s="842">
        <v>0</v>
      </c>
      <c r="F247" s="842">
        <v>6.8570000000000002</v>
      </c>
      <c r="G247" s="842">
        <v>6.8570000000000002</v>
      </c>
      <c r="H247" s="842">
        <v>0</v>
      </c>
      <c r="I247" s="842">
        <v>0</v>
      </c>
      <c r="J247" s="842">
        <v>0</v>
      </c>
      <c r="K247" s="842">
        <v>0</v>
      </c>
      <c r="L247" s="842">
        <v>0</v>
      </c>
      <c r="M247" s="842">
        <v>0</v>
      </c>
      <c r="N247" s="842">
        <v>0</v>
      </c>
      <c r="O247" s="842">
        <v>0</v>
      </c>
      <c r="P247" s="842">
        <v>0</v>
      </c>
      <c r="Q247" s="842">
        <v>6.8570000000000002</v>
      </c>
      <c r="R247" s="842">
        <v>0</v>
      </c>
      <c r="S247" s="842">
        <v>0</v>
      </c>
      <c r="T247" s="842">
        <v>6.8570000000000002</v>
      </c>
      <c r="U247" s="842">
        <v>0</v>
      </c>
      <c r="V247" s="842">
        <v>0</v>
      </c>
      <c r="W247" s="842">
        <v>0</v>
      </c>
      <c r="X247" s="985">
        <v>1</v>
      </c>
    </row>
    <row r="248" spans="1:24" s="330" customFormat="1" ht="78.75">
      <c r="A248" s="838" t="s">
        <v>2469</v>
      </c>
      <c r="B248" s="840" t="s">
        <v>2627</v>
      </c>
      <c r="C248" s="842">
        <v>385.79899999999998</v>
      </c>
      <c r="D248" s="842">
        <v>0</v>
      </c>
      <c r="E248" s="842">
        <v>0</v>
      </c>
      <c r="F248" s="842">
        <v>385.79899999999998</v>
      </c>
      <c r="G248" s="842">
        <v>385.79899999999998</v>
      </c>
      <c r="H248" s="842">
        <v>0</v>
      </c>
      <c r="I248" s="842">
        <v>0</v>
      </c>
      <c r="J248" s="842">
        <v>0</v>
      </c>
      <c r="K248" s="842">
        <v>0</v>
      </c>
      <c r="L248" s="842">
        <v>0</v>
      </c>
      <c r="M248" s="842">
        <v>0</v>
      </c>
      <c r="N248" s="842">
        <v>0</v>
      </c>
      <c r="O248" s="842">
        <v>0</v>
      </c>
      <c r="P248" s="842">
        <v>0</v>
      </c>
      <c r="Q248" s="842">
        <v>385.79899999999998</v>
      </c>
      <c r="R248" s="842">
        <v>385.79899999999998</v>
      </c>
      <c r="S248" s="842">
        <v>0</v>
      </c>
      <c r="T248" s="842">
        <v>0</v>
      </c>
      <c r="U248" s="842">
        <v>0</v>
      </c>
      <c r="V248" s="842">
        <v>0</v>
      </c>
      <c r="W248" s="842">
        <v>0</v>
      </c>
      <c r="X248" s="985">
        <v>1</v>
      </c>
    </row>
    <row r="249" spans="1:24" hidden="1">
      <c r="B249" s="202"/>
      <c r="C249" s="785"/>
      <c r="D249" s="842"/>
      <c r="E249" s="842"/>
      <c r="F249" s="785"/>
      <c r="G249" s="785"/>
      <c r="H249" s="842"/>
      <c r="I249" s="842"/>
      <c r="J249" s="842"/>
      <c r="K249" s="842"/>
      <c r="L249" s="842"/>
      <c r="M249" s="842"/>
      <c r="N249" s="842"/>
      <c r="O249" s="842"/>
      <c r="P249" s="842"/>
      <c r="Q249" s="842"/>
      <c r="R249" s="842"/>
      <c r="S249" s="842"/>
      <c r="T249" s="785"/>
      <c r="U249" s="842"/>
      <c r="V249" s="842"/>
      <c r="W249" s="842"/>
      <c r="X249" s="785"/>
    </row>
  </sheetData>
  <autoFilter ref="A10:AB198"/>
  <mergeCells count="23">
    <mergeCell ref="U1:W1"/>
    <mergeCell ref="A4:AB4"/>
    <mergeCell ref="A6:A7"/>
    <mergeCell ref="B6:B7"/>
    <mergeCell ref="C6:C7"/>
    <mergeCell ref="G6:G7"/>
    <mergeCell ref="V6:V7"/>
    <mergeCell ref="A3:AB3"/>
    <mergeCell ref="H6:H7"/>
    <mergeCell ref="I6:I7"/>
    <mergeCell ref="W6:W7"/>
    <mergeCell ref="X6:X7"/>
    <mergeCell ref="U6:U7"/>
    <mergeCell ref="O6:O7"/>
    <mergeCell ref="L6:L7"/>
    <mergeCell ref="P6:P7"/>
    <mergeCell ref="R6:S6"/>
    <mergeCell ref="D6:F6"/>
    <mergeCell ref="N6:N7"/>
    <mergeCell ref="J6:J7"/>
    <mergeCell ref="K6:K7"/>
    <mergeCell ref="M6:M7"/>
    <mergeCell ref="Q6:Q7"/>
  </mergeCells>
  <pageMargins left="0.196850393700787" right="0.118110236220472" top="0.44685039399999998" bottom="0.44685039399999998" header="0.31496062992126" footer="0.31496062992126"/>
  <pageSetup paperSize="8" scale="65"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6"/>
  <sheetViews>
    <sheetView view="pageBreakPreview" zoomScale="70" zoomScaleNormal="70" zoomScaleSheetLayoutView="70" workbookViewId="0">
      <pane xSplit="3" ySplit="14" topLeftCell="G228" activePane="bottomRight" state="frozen"/>
      <selection pane="topRight" activeCell="D1" sqref="D1"/>
      <selection pane="bottomLeft" activeCell="A11" sqref="A11"/>
      <selection pane="bottomRight" activeCell="M238" sqref="M238"/>
    </sheetView>
  </sheetViews>
  <sheetFormatPr defaultColWidth="9.125" defaultRowHeight="15.75"/>
  <cols>
    <col min="1" max="1" width="6" style="330" customWidth="1"/>
    <col min="2" max="2" width="36.375" style="330" customWidth="1"/>
    <col min="3" max="3" width="17" style="330" customWidth="1"/>
    <col min="4" max="6" width="17" style="330" hidden="1" customWidth="1"/>
    <col min="7" max="8" width="17" style="330" customWidth="1"/>
    <col min="9" max="10" width="16" style="330" customWidth="1"/>
    <col min="11" max="11" width="13.625" style="330" customWidth="1"/>
    <col min="12" max="12" width="15" style="330" customWidth="1"/>
    <col min="13" max="13" width="14.75" style="330" customWidth="1"/>
    <col min="14" max="14" width="16" style="330" customWidth="1"/>
    <col min="15" max="15" width="14.375" style="330" customWidth="1"/>
    <col min="16" max="17" width="16" style="330" customWidth="1"/>
    <col min="18" max="18" width="14.125" style="330" customWidth="1"/>
    <col min="19" max="19" width="16" style="330" customWidth="1"/>
    <col min="20" max="20" width="16" style="330" hidden="1" customWidth="1"/>
    <col min="21" max="22" width="16" style="330" customWidth="1"/>
    <col min="23" max="23" width="14.375" style="330" customWidth="1"/>
    <col min="24" max="24" width="9.25" style="330" customWidth="1"/>
    <col min="25" max="16384" width="9.125" style="330"/>
  </cols>
  <sheetData>
    <row r="1" spans="1:25" s="846" customFormat="1">
      <c r="C1" s="847"/>
      <c r="D1" s="847"/>
      <c r="E1" s="847"/>
      <c r="F1" s="847"/>
      <c r="G1" s="847"/>
      <c r="H1" s="848"/>
      <c r="I1" s="847"/>
      <c r="J1" s="847"/>
      <c r="K1" s="847"/>
      <c r="L1" s="847"/>
      <c r="M1" s="847"/>
      <c r="N1" s="847"/>
      <c r="O1" s="847"/>
      <c r="P1" s="847"/>
      <c r="Q1" s="847"/>
      <c r="R1" s="847"/>
      <c r="S1" s="849"/>
      <c r="T1" s="849"/>
      <c r="U1" s="849"/>
      <c r="V1" s="849"/>
      <c r="W1" s="1106" t="s">
        <v>164</v>
      </c>
      <c r="X1" s="1106"/>
    </row>
    <row r="2" spans="1:25" s="846" customFormat="1" ht="33.75" customHeight="1">
      <c r="A2" s="1106" t="s">
        <v>2405</v>
      </c>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850"/>
    </row>
    <row r="3" spans="1:25" s="846" customFormat="1" ht="28.5" customHeight="1">
      <c r="A3" s="1107" t="s">
        <v>2397</v>
      </c>
      <c r="B3" s="1107"/>
      <c r="C3" s="1107"/>
      <c r="D3" s="1107"/>
      <c r="E3" s="1107"/>
      <c r="F3" s="1107"/>
      <c r="G3" s="1107"/>
      <c r="H3" s="1107"/>
      <c r="I3" s="1107"/>
      <c r="J3" s="1107"/>
      <c r="K3" s="1107"/>
      <c r="L3" s="1107"/>
      <c r="M3" s="1107"/>
      <c r="N3" s="1107"/>
      <c r="O3" s="1107"/>
      <c r="P3" s="1107"/>
      <c r="Q3" s="1107"/>
      <c r="R3" s="1107"/>
      <c r="S3" s="1107"/>
      <c r="T3" s="1107"/>
      <c r="U3" s="1107"/>
      <c r="V3" s="1107"/>
      <c r="W3" s="1107"/>
      <c r="X3" s="1107"/>
      <c r="Y3" s="851"/>
    </row>
    <row r="4" spans="1:25" s="846" customFormat="1" hidden="1">
      <c r="C4" s="847"/>
      <c r="D4" s="847"/>
      <c r="E4" s="847"/>
      <c r="F4" s="847"/>
      <c r="G4" s="847">
        <v>2019613.2216040001</v>
      </c>
      <c r="H4" s="852">
        <v>-6.0780001804232597E-3</v>
      </c>
      <c r="I4" s="847"/>
      <c r="J4" s="847"/>
      <c r="K4" s="847"/>
      <c r="L4" s="847"/>
      <c r="M4" s="847"/>
      <c r="N4" s="847"/>
      <c r="O4" s="847"/>
      <c r="P4" s="847"/>
      <c r="Q4" s="847"/>
      <c r="R4" s="847"/>
      <c r="S4" s="847"/>
      <c r="T4" s="847"/>
      <c r="U4" s="847"/>
      <c r="V4" s="847"/>
      <c r="W4" s="847"/>
      <c r="X4" s="847"/>
    </row>
    <row r="5" spans="1:25" hidden="1">
      <c r="A5" s="1108"/>
      <c r="B5" s="1109"/>
      <c r="C5" s="1109"/>
      <c r="D5" s="1109"/>
      <c r="E5" s="1109"/>
      <c r="F5" s="1109"/>
      <c r="G5" s="1109"/>
      <c r="H5" s="1109"/>
      <c r="I5" s="1109"/>
      <c r="J5" s="1109"/>
      <c r="K5" s="1109"/>
      <c r="L5" s="1109"/>
      <c r="M5" s="1109"/>
      <c r="N5" s="1109"/>
      <c r="O5" s="1109"/>
      <c r="P5" s="1109"/>
      <c r="Q5" s="1109"/>
      <c r="R5" s="1109"/>
      <c r="S5" s="1109"/>
      <c r="T5" s="1109"/>
      <c r="U5" s="1109"/>
      <c r="V5" s="1109"/>
      <c r="W5" s="1109"/>
      <c r="X5" s="1109"/>
    </row>
    <row r="6" spans="1:25">
      <c r="W6" s="1110" t="s">
        <v>2</v>
      </c>
      <c r="X6" s="1110"/>
    </row>
    <row r="7" spans="1:25">
      <c r="A7" s="1104" t="s">
        <v>3</v>
      </c>
      <c r="B7" s="1104" t="s">
        <v>152</v>
      </c>
      <c r="C7" s="1104" t="s">
        <v>4</v>
      </c>
      <c r="D7" s="1104" t="s">
        <v>144</v>
      </c>
      <c r="E7" s="1105" t="s">
        <v>2469</v>
      </c>
      <c r="F7" s="1105" t="s">
        <v>2469</v>
      </c>
      <c r="G7" s="1104" t="s">
        <v>5</v>
      </c>
      <c r="H7" s="1111" t="s">
        <v>1964</v>
      </c>
      <c r="I7" s="1111" t="s">
        <v>1965</v>
      </c>
      <c r="J7" s="1111" t="s">
        <v>131</v>
      </c>
      <c r="K7" s="1111" t="s">
        <v>1966</v>
      </c>
      <c r="L7" s="1111" t="s">
        <v>1967</v>
      </c>
      <c r="M7" s="1111" t="s">
        <v>1968</v>
      </c>
      <c r="N7" s="1111" t="s">
        <v>1969</v>
      </c>
      <c r="O7" s="1111" t="s">
        <v>1970</v>
      </c>
      <c r="P7" s="1111" t="s">
        <v>1971</v>
      </c>
      <c r="Q7" s="1111" t="s">
        <v>1972</v>
      </c>
      <c r="R7" s="1104" t="s">
        <v>158</v>
      </c>
      <c r="S7" s="1105"/>
      <c r="T7" s="838"/>
      <c r="U7" s="1111" t="s">
        <v>1973</v>
      </c>
      <c r="V7" s="1111" t="s">
        <v>1974</v>
      </c>
      <c r="W7" s="1104" t="s">
        <v>1623</v>
      </c>
      <c r="X7" s="1111" t="s">
        <v>52</v>
      </c>
    </row>
    <row r="8" spans="1:25" ht="47.25">
      <c r="A8" s="1105"/>
      <c r="B8" s="1105"/>
      <c r="C8" s="1105"/>
      <c r="D8" s="854" t="s">
        <v>2470</v>
      </c>
      <c r="E8" s="854" t="s">
        <v>2471</v>
      </c>
      <c r="F8" s="854" t="s">
        <v>2472</v>
      </c>
      <c r="G8" s="1105"/>
      <c r="H8" s="1105"/>
      <c r="I8" s="1105"/>
      <c r="J8" s="1105"/>
      <c r="K8" s="1105"/>
      <c r="L8" s="1105"/>
      <c r="M8" s="1109"/>
      <c r="N8" s="1105"/>
      <c r="O8" s="1105"/>
      <c r="P8" s="1109"/>
      <c r="Q8" s="1105"/>
      <c r="R8" s="854" t="s">
        <v>159</v>
      </c>
      <c r="S8" s="854" t="s">
        <v>1975</v>
      </c>
      <c r="T8" s="854"/>
      <c r="U8" s="1105"/>
      <c r="V8" s="1109"/>
      <c r="W8" s="1105"/>
      <c r="X8" s="1105"/>
    </row>
    <row r="9" spans="1:25">
      <c r="A9" s="530" t="s">
        <v>9</v>
      </c>
      <c r="B9" s="530" t="s">
        <v>10</v>
      </c>
      <c r="C9" s="530" t="s">
        <v>1883</v>
      </c>
      <c r="D9" s="530"/>
      <c r="E9" s="530"/>
      <c r="F9" s="530"/>
      <c r="G9" s="530" t="s">
        <v>1884</v>
      </c>
      <c r="H9" s="530" t="s">
        <v>1885</v>
      </c>
      <c r="I9" s="530" t="s">
        <v>1886</v>
      </c>
      <c r="J9" s="530" t="s">
        <v>1976</v>
      </c>
      <c r="K9" s="530" t="s">
        <v>1977</v>
      </c>
      <c r="L9" s="530" t="s">
        <v>1978</v>
      </c>
      <c r="M9" s="530" t="s">
        <v>1979</v>
      </c>
      <c r="N9" s="530" t="s">
        <v>1980</v>
      </c>
      <c r="O9" s="530" t="s">
        <v>1981</v>
      </c>
      <c r="P9" s="530" t="s">
        <v>1982</v>
      </c>
      <c r="Q9" s="530" t="s">
        <v>1983</v>
      </c>
      <c r="R9" s="530" t="s">
        <v>1984</v>
      </c>
      <c r="S9" s="530" t="s">
        <v>1985</v>
      </c>
      <c r="T9" s="530"/>
      <c r="U9" s="530" t="s">
        <v>1986</v>
      </c>
      <c r="V9" s="530" t="s">
        <v>1987</v>
      </c>
      <c r="W9" s="530" t="s">
        <v>1988</v>
      </c>
      <c r="X9" s="530" t="s">
        <v>161</v>
      </c>
    </row>
    <row r="10" spans="1:25" s="354" customFormat="1" ht="25.5" customHeight="1">
      <c r="A10" s="854"/>
      <c r="B10" s="854" t="s">
        <v>1150</v>
      </c>
      <c r="C10" s="855"/>
      <c r="D10" s="855"/>
      <c r="E10" s="855"/>
      <c r="F10" s="855"/>
      <c r="G10" s="855">
        <v>2019613.2155259999</v>
      </c>
      <c r="H10" s="855">
        <v>447418.57855600002</v>
      </c>
      <c r="I10" s="855">
        <v>20753.310799999999</v>
      </c>
      <c r="J10" s="855">
        <v>99810.724526999998</v>
      </c>
      <c r="K10" s="855">
        <v>18627.036800000002</v>
      </c>
      <c r="L10" s="855">
        <v>585639.78389600001</v>
      </c>
      <c r="M10" s="855">
        <v>66537.949800999995</v>
      </c>
      <c r="N10" s="855">
        <v>28189.587336000001</v>
      </c>
      <c r="O10" s="855">
        <v>3664.3179</v>
      </c>
      <c r="P10" s="855">
        <v>34218.661441999997</v>
      </c>
      <c r="Q10" s="855">
        <v>266043.65977799997</v>
      </c>
      <c r="R10" s="855">
        <v>41224.737999999998</v>
      </c>
      <c r="S10" s="855">
        <v>176581.59373399999</v>
      </c>
      <c r="T10" s="855">
        <v>48237.328044000002</v>
      </c>
      <c r="U10" s="855">
        <v>376876.971081</v>
      </c>
      <c r="V10" s="855">
        <v>35760.631294999999</v>
      </c>
      <c r="W10" s="855">
        <v>36072.012314</v>
      </c>
      <c r="X10" s="1011">
        <v>0.93</v>
      </c>
    </row>
    <row r="11" spans="1:25" s="856" customFormat="1" hidden="1">
      <c r="A11" s="874"/>
      <c r="B11" s="874" t="s">
        <v>2390</v>
      </c>
      <c r="C11" s="875"/>
      <c r="D11" s="875"/>
      <c r="E11" s="875"/>
      <c r="F11" s="875"/>
      <c r="G11" s="875">
        <v>2169616.4861610001</v>
      </c>
      <c r="H11" s="875">
        <v>458329.46181100002</v>
      </c>
      <c r="I11" s="875">
        <v>20753.310799999999</v>
      </c>
      <c r="J11" s="875">
        <v>99810.724526999998</v>
      </c>
      <c r="K11" s="875">
        <v>19257.036800000002</v>
      </c>
      <c r="L11" s="875">
        <v>588708.31523199996</v>
      </c>
      <c r="M11" s="875">
        <v>82760.889301000003</v>
      </c>
      <c r="N11" s="875">
        <v>30823.255175999999</v>
      </c>
      <c r="O11" s="875">
        <v>3664.3179</v>
      </c>
      <c r="P11" s="875">
        <v>34967.859888999999</v>
      </c>
      <c r="Q11" s="875">
        <v>362492.24667299999</v>
      </c>
      <c r="R11" s="875">
        <v>97579.737999999998</v>
      </c>
      <c r="S11" s="875">
        <v>210137.72988200001</v>
      </c>
      <c r="T11" s="875">
        <v>54774.778790999997</v>
      </c>
      <c r="U11" s="875">
        <v>379471.339011</v>
      </c>
      <c r="V11" s="875">
        <v>52505.716726999999</v>
      </c>
      <c r="W11" s="875">
        <v>36072.012314</v>
      </c>
      <c r="X11" s="876"/>
    </row>
    <row r="12" spans="1:25" s="354" customFormat="1" hidden="1">
      <c r="A12" s="869"/>
      <c r="B12" s="869"/>
      <c r="C12" s="870"/>
      <c r="D12" s="870"/>
      <c r="E12" s="870"/>
      <c r="F12" s="870"/>
      <c r="G12" s="870"/>
      <c r="H12" s="870"/>
      <c r="I12" s="870"/>
      <c r="J12" s="870"/>
      <c r="K12" s="870"/>
      <c r="L12" s="870"/>
      <c r="M12" s="870"/>
      <c r="N12" s="870"/>
      <c r="O12" s="870"/>
      <c r="P12" s="870"/>
      <c r="Q12" s="870"/>
      <c r="R12" s="870"/>
      <c r="S12" s="870"/>
      <c r="T12" s="870"/>
      <c r="U12" s="870"/>
      <c r="V12" s="870"/>
      <c r="W12" s="870"/>
      <c r="X12" s="871"/>
    </row>
    <row r="13" spans="1:25" s="354" customFormat="1" hidden="1">
      <c r="A13" s="869"/>
      <c r="B13" s="869"/>
      <c r="C13" s="870"/>
      <c r="D13" s="870"/>
      <c r="E13" s="870"/>
      <c r="F13" s="870"/>
      <c r="G13" s="870">
        <v>2169616.4761609999</v>
      </c>
      <c r="H13" s="870">
        <v>458329.46181100002</v>
      </c>
      <c r="I13" s="870">
        <v>20753.310799999999</v>
      </c>
      <c r="J13" s="870">
        <v>99810.724526999998</v>
      </c>
      <c r="K13" s="870">
        <v>19257.036800000002</v>
      </c>
      <c r="L13" s="870">
        <v>588708.31523199996</v>
      </c>
      <c r="M13" s="870">
        <v>82760.889300999988</v>
      </c>
      <c r="N13" s="870">
        <v>30823.255175999999</v>
      </c>
      <c r="O13" s="870">
        <v>3664.3179</v>
      </c>
      <c r="P13" s="870">
        <v>34967.859888999999</v>
      </c>
      <c r="Q13" s="870">
        <v>362492.24667299993</v>
      </c>
      <c r="R13" s="870">
        <v>97579.737999999998</v>
      </c>
      <c r="S13" s="870">
        <v>210137.72988199999</v>
      </c>
      <c r="T13" s="870">
        <v>54774.778791000004</v>
      </c>
      <c r="U13" s="870">
        <v>379471.339011</v>
      </c>
      <c r="V13" s="870">
        <v>52505.716726999999</v>
      </c>
      <c r="W13" s="870">
        <v>36072.012314</v>
      </c>
      <c r="X13" s="871"/>
    </row>
    <row r="14" spans="1:25" s="864" customFormat="1" ht="31.5" hidden="1">
      <c r="A14" s="869" t="s">
        <v>2469</v>
      </c>
      <c r="B14" s="872" t="s">
        <v>2665</v>
      </c>
      <c r="C14" s="873">
        <v>2163884.5166560002</v>
      </c>
      <c r="D14" s="873">
        <v>67740.869997999995</v>
      </c>
      <c r="E14" s="873">
        <v>1085862.4682750001</v>
      </c>
      <c r="F14" s="873">
        <v>1010281.178383</v>
      </c>
      <c r="G14" s="873">
        <v>2076565.2255259999</v>
      </c>
      <c r="H14" s="873">
        <v>447418.57855600002</v>
      </c>
      <c r="I14" s="873">
        <v>20753.310799999999</v>
      </c>
      <c r="J14" s="873">
        <v>99810.724526999998</v>
      </c>
      <c r="K14" s="873">
        <v>18627.036800000002</v>
      </c>
      <c r="L14" s="873">
        <v>585639.78389600001</v>
      </c>
      <c r="M14" s="873">
        <v>67134.949800999995</v>
      </c>
      <c r="N14" s="873">
        <v>28189.587336000001</v>
      </c>
      <c r="O14" s="873">
        <v>3664.3179</v>
      </c>
      <c r="P14" s="873">
        <v>34218.661441999997</v>
      </c>
      <c r="Q14" s="873">
        <v>322398.65977799997</v>
      </c>
      <c r="R14" s="873">
        <v>97579.737999999998</v>
      </c>
      <c r="S14" s="873">
        <v>176581.59373399999</v>
      </c>
      <c r="T14" s="873">
        <v>48237.328044000002</v>
      </c>
      <c r="U14" s="873">
        <v>376876.971081</v>
      </c>
      <c r="V14" s="873">
        <v>35760.631294999999</v>
      </c>
      <c r="W14" s="873">
        <v>36072.012314</v>
      </c>
      <c r="X14" s="871" t="s">
        <v>2474</v>
      </c>
    </row>
    <row r="15" spans="1:25">
      <c r="A15" s="838" t="s">
        <v>1883</v>
      </c>
      <c r="B15" s="840" t="s">
        <v>2473</v>
      </c>
      <c r="C15" s="857">
        <v>23950.191999999999</v>
      </c>
      <c r="D15" s="857">
        <v>0</v>
      </c>
      <c r="E15" s="857">
        <v>17977</v>
      </c>
      <c r="F15" s="857">
        <v>5973.192</v>
      </c>
      <c r="G15" s="857">
        <v>22870.437999999998</v>
      </c>
      <c r="H15" s="857">
        <v>232.57499999999999</v>
      </c>
      <c r="I15" s="857">
        <v>0</v>
      </c>
      <c r="J15" s="857">
        <v>138.274</v>
      </c>
      <c r="K15" s="857">
        <v>0</v>
      </c>
      <c r="L15" s="857">
        <v>0</v>
      </c>
      <c r="M15" s="857">
        <v>0</v>
      </c>
      <c r="N15" s="857">
        <v>0</v>
      </c>
      <c r="O15" s="857">
        <v>0</v>
      </c>
      <c r="P15" s="857">
        <v>0</v>
      </c>
      <c r="Q15" s="857">
        <v>0</v>
      </c>
      <c r="R15" s="857">
        <v>0</v>
      </c>
      <c r="S15" s="857">
        <v>0</v>
      </c>
      <c r="T15" s="857">
        <v>0</v>
      </c>
      <c r="U15" s="857">
        <v>18556.512999999999</v>
      </c>
      <c r="V15" s="857">
        <v>0</v>
      </c>
      <c r="W15" s="857">
        <v>3943.076</v>
      </c>
      <c r="X15" s="1010">
        <v>0.9549166870979573</v>
      </c>
    </row>
    <row r="16" spans="1:25" ht="31.5">
      <c r="A16" s="838" t="s">
        <v>2469</v>
      </c>
      <c r="B16" s="839" t="s">
        <v>2244</v>
      </c>
      <c r="C16" s="857">
        <v>23950.191999999999</v>
      </c>
      <c r="D16" s="857">
        <v>0</v>
      </c>
      <c r="E16" s="857">
        <v>17977</v>
      </c>
      <c r="F16" s="857">
        <v>5973.192</v>
      </c>
      <c r="G16" s="857">
        <v>22870.437999999998</v>
      </c>
      <c r="H16" s="857">
        <v>232.57499999999999</v>
      </c>
      <c r="I16" s="857">
        <v>0</v>
      </c>
      <c r="J16" s="857">
        <v>138.274</v>
      </c>
      <c r="K16" s="857">
        <v>0</v>
      </c>
      <c r="L16" s="857">
        <v>0</v>
      </c>
      <c r="M16" s="857">
        <v>0</v>
      </c>
      <c r="N16" s="857">
        <v>0</v>
      </c>
      <c r="O16" s="857">
        <v>0</v>
      </c>
      <c r="P16" s="857">
        <v>0</v>
      </c>
      <c r="Q16" s="857">
        <v>0</v>
      </c>
      <c r="R16" s="857">
        <v>0</v>
      </c>
      <c r="S16" s="857">
        <v>0</v>
      </c>
      <c r="T16" s="857">
        <v>0</v>
      </c>
      <c r="U16" s="857">
        <v>18556.512999999999</v>
      </c>
      <c r="V16" s="857">
        <v>0</v>
      </c>
      <c r="W16" s="857">
        <v>3943.076</v>
      </c>
      <c r="X16" s="1010">
        <v>0.9549166870979573</v>
      </c>
    </row>
    <row r="17" spans="1:24">
      <c r="A17" s="838" t="s">
        <v>1884</v>
      </c>
      <c r="B17" s="840" t="s">
        <v>2475</v>
      </c>
      <c r="C17" s="857">
        <v>44197.415999999997</v>
      </c>
      <c r="D17" s="857">
        <v>1725</v>
      </c>
      <c r="E17" s="857">
        <v>23496</v>
      </c>
      <c r="F17" s="857">
        <v>18976.416000000001</v>
      </c>
      <c r="G17" s="857">
        <v>40770.922645999999</v>
      </c>
      <c r="H17" s="857">
        <v>252.72200000000001</v>
      </c>
      <c r="I17" s="857">
        <v>0</v>
      </c>
      <c r="J17" s="857">
        <v>328.60700000000003</v>
      </c>
      <c r="K17" s="857">
        <v>0</v>
      </c>
      <c r="L17" s="857">
        <v>0</v>
      </c>
      <c r="M17" s="857">
        <v>2242.4229999999998</v>
      </c>
      <c r="N17" s="857">
        <v>0</v>
      </c>
      <c r="O17" s="857">
        <v>0</v>
      </c>
      <c r="P17" s="857">
        <v>0</v>
      </c>
      <c r="Q17" s="857">
        <v>8906.8166459999993</v>
      </c>
      <c r="R17" s="857">
        <v>0</v>
      </c>
      <c r="S17" s="857">
        <v>0</v>
      </c>
      <c r="T17" s="857">
        <v>8906.8166459999993</v>
      </c>
      <c r="U17" s="857">
        <v>22196.181</v>
      </c>
      <c r="V17" s="857">
        <v>0</v>
      </c>
      <c r="W17" s="857">
        <v>6844.1729999999998</v>
      </c>
      <c r="X17" s="1010">
        <v>0.92247299357953416</v>
      </c>
    </row>
    <row r="18" spans="1:24" ht="31.5">
      <c r="A18" s="838" t="s">
        <v>2469</v>
      </c>
      <c r="B18" s="840" t="s">
        <v>1990</v>
      </c>
      <c r="C18" s="857">
        <v>3494.4850000000001</v>
      </c>
      <c r="D18" s="857">
        <v>0</v>
      </c>
      <c r="E18" s="857">
        <v>2747</v>
      </c>
      <c r="F18" s="857">
        <v>747.48500000000001</v>
      </c>
      <c r="G18" s="857">
        <v>3491.99</v>
      </c>
      <c r="H18" s="857">
        <v>185.39400000000001</v>
      </c>
      <c r="I18" s="857">
        <v>0</v>
      </c>
      <c r="J18" s="857">
        <v>0</v>
      </c>
      <c r="K18" s="857">
        <v>0</v>
      </c>
      <c r="L18" s="857">
        <v>0</v>
      </c>
      <c r="M18" s="857">
        <v>567</v>
      </c>
      <c r="N18" s="857">
        <v>0</v>
      </c>
      <c r="O18" s="857">
        <v>0</v>
      </c>
      <c r="P18" s="857">
        <v>0</v>
      </c>
      <c r="Q18" s="857">
        <v>2739.596</v>
      </c>
      <c r="R18" s="857">
        <v>0</v>
      </c>
      <c r="S18" s="857">
        <v>0</v>
      </c>
      <c r="T18" s="857">
        <v>2739.596</v>
      </c>
      <c r="U18" s="857">
        <v>0</v>
      </c>
      <c r="V18" s="857">
        <v>0</v>
      </c>
      <c r="W18" s="857">
        <v>0</v>
      </c>
      <c r="X18" s="1010">
        <v>0.99928601782523019</v>
      </c>
    </row>
    <row r="19" spans="1:24" ht="31.5">
      <c r="A19" s="838" t="s">
        <v>2469</v>
      </c>
      <c r="B19" s="840" t="s">
        <v>1989</v>
      </c>
      <c r="C19" s="857">
        <v>32760.672999999999</v>
      </c>
      <c r="D19" s="857">
        <v>1725</v>
      </c>
      <c r="E19" s="857">
        <v>19595</v>
      </c>
      <c r="F19" s="857">
        <v>11440.673000000001</v>
      </c>
      <c r="G19" s="857">
        <v>30639.802</v>
      </c>
      <c r="H19" s="857">
        <v>67.328000000000003</v>
      </c>
      <c r="I19" s="857">
        <v>0</v>
      </c>
      <c r="J19" s="857">
        <v>328.60700000000003</v>
      </c>
      <c r="K19" s="857">
        <v>0</v>
      </c>
      <c r="L19" s="857">
        <v>0</v>
      </c>
      <c r="M19" s="857">
        <v>1675.423</v>
      </c>
      <c r="N19" s="857">
        <v>0</v>
      </c>
      <c r="O19" s="857">
        <v>0</v>
      </c>
      <c r="P19" s="857">
        <v>0</v>
      </c>
      <c r="Q19" s="857">
        <v>0</v>
      </c>
      <c r="R19" s="857">
        <v>0</v>
      </c>
      <c r="S19" s="857">
        <v>0</v>
      </c>
      <c r="T19" s="857">
        <v>0</v>
      </c>
      <c r="U19" s="857">
        <v>22196.181</v>
      </c>
      <c r="V19" s="857">
        <v>0</v>
      </c>
      <c r="W19" s="857">
        <v>6372.2629999999999</v>
      </c>
      <c r="X19" s="1010">
        <v>0.93526167792706827</v>
      </c>
    </row>
    <row r="20" spans="1:24" ht="31.5">
      <c r="A20" s="838" t="s">
        <v>2469</v>
      </c>
      <c r="B20" s="839" t="s">
        <v>1991</v>
      </c>
      <c r="C20" s="857">
        <v>7942.2579999999998</v>
      </c>
      <c r="D20" s="857">
        <v>0</v>
      </c>
      <c r="E20" s="857">
        <v>1154</v>
      </c>
      <c r="F20" s="857">
        <v>6788.2579999999998</v>
      </c>
      <c r="G20" s="857">
        <v>6639.1306459999996</v>
      </c>
      <c r="H20" s="857">
        <v>0</v>
      </c>
      <c r="I20" s="857">
        <v>0</v>
      </c>
      <c r="J20" s="857">
        <v>0</v>
      </c>
      <c r="K20" s="857">
        <v>0</v>
      </c>
      <c r="L20" s="857">
        <v>0</v>
      </c>
      <c r="M20" s="857">
        <v>0</v>
      </c>
      <c r="N20" s="857">
        <v>0</v>
      </c>
      <c r="O20" s="857">
        <v>0</v>
      </c>
      <c r="P20" s="857">
        <v>0</v>
      </c>
      <c r="Q20" s="857">
        <v>6167.2206459999998</v>
      </c>
      <c r="R20" s="857">
        <v>0</v>
      </c>
      <c r="S20" s="857">
        <v>0</v>
      </c>
      <c r="T20" s="857">
        <v>6167.2206459999998</v>
      </c>
      <c r="U20" s="857">
        <v>0</v>
      </c>
      <c r="V20" s="857">
        <v>0</v>
      </c>
      <c r="W20" s="857">
        <v>471.91</v>
      </c>
      <c r="X20" s="1010">
        <v>0.83592482717131578</v>
      </c>
    </row>
    <row r="21" spans="1:24">
      <c r="A21" s="838" t="s">
        <v>1885</v>
      </c>
      <c r="B21" s="840" t="s">
        <v>453</v>
      </c>
      <c r="C21" s="857">
        <v>16113.179</v>
      </c>
      <c r="D21" s="857">
        <v>102.45699999999999</v>
      </c>
      <c r="E21" s="857">
        <v>4529</v>
      </c>
      <c r="F21" s="857">
        <v>11481.722</v>
      </c>
      <c r="G21" s="857">
        <v>15416.633658999999</v>
      </c>
      <c r="H21" s="857">
        <v>246.4</v>
      </c>
      <c r="I21" s="857">
        <v>0</v>
      </c>
      <c r="J21" s="857">
        <v>0</v>
      </c>
      <c r="K21" s="857">
        <v>0</v>
      </c>
      <c r="L21" s="857">
        <v>0</v>
      </c>
      <c r="M21" s="857">
        <v>0</v>
      </c>
      <c r="N21" s="857">
        <v>0</v>
      </c>
      <c r="O21" s="857">
        <v>0</v>
      </c>
      <c r="P21" s="857">
        <v>0</v>
      </c>
      <c r="Q21" s="857">
        <v>0</v>
      </c>
      <c r="R21" s="857">
        <v>0</v>
      </c>
      <c r="S21" s="857">
        <v>0</v>
      </c>
      <c r="T21" s="857">
        <v>0</v>
      </c>
      <c r="U21" s="857">
        <v>10100.255659</v>
      </c>
      <c r="V21" s="857">
        <v>0</v>
      </c>
      <c r="W21" s="857">
        <v>5069.9780000000001</v>
      </c>
      <c r="X21" s="1010">
        <v>0.95677169967515407</v>
      </c>
    </row>
    <row r="22" spans="1:24">
      <c r="A22" s="838" t="s">
        <v>2469</v>
      </c>
      <c r="B22" s="839" t="s">
        <v>1992</v>
      </c>
      <c r="C22" s="857">
        <v>16113.179</v>
      </c>
      <c r="D22" s="857">
        <v>102.45699999999999</v>
      </c>
      <c r="E22" s="857">
        <v>4529</v>
      </c>
      <c r="F22" s="857">
        <v>11481.722</v>
      </c>
      <c r="G22" s="857">
        <v>15416.633658999999</v>
      </c>
      <c r="H22" s="857">
        <v>246.4</v>
      </c>
      <c r="I22" s="857">
        <v>0</v>
      </c>
      <c r="J22" s="857">
        <v>0</v>
      </c>
      <c r="K22" s="857">
        <v>0</v>
      </c>
      <c r="L22" s="857">
        <v>0</v>
      </c>
      <c r="M22" s="857">
        <v>0</v>
      </c>
      <c r="N22" s="857">
        <v>0</v>
      </c>
      <c r="O22" s="857">
        <v>0</v>
      </c>
      <c r="P22" s="857">
        <v>0</v>
      </c>
      <c r="Q22" s="857">
        <v>0</v>
      </c>
      <c r="R22" s="857">
        <v>0</v>
      </c>
      <c r="S22" s="857">
        <v>0</v>
      </c>
      <c r="T22" s="857">
        <v>0</v>
      </c>
      <c r="U22" s="857">
        <v>10100.255659</v>
      </c>
      <c r="V22" s="857">
        <v>0</v>
      </c>
      <c r="W22" s="857">
        <v>5069.9780000000001</v>
      </c>
      <c r="X22" s="1010">
        <v>0.95677169967515407</v>
      </c>
    </row>
    <row r="23" spans="1:24">
      <c r="A23" s="838" t="s">
        <v>1886</v>
      </c>
      <c r="B23" s="840" t="s">
        <v>2245</v>
      </c>
      <c r="C23" s="857">
        <v>125475.080533</v>
      </c>
      <c r="D23" s="857">
        <v>633.785617</v>
      </c>
      <c r="E23" s="857">
        <v>101233.067916</v>
      </c>
      <c r="F23" s="857">
        <v>23608.226999999999</v>
      </c>
      <c r="G23" s="857">
        <v>117517.79532400001</v>
      </c>
      <c r="H23" s="857">
        <v>0</v>
      </c>
      <c r="I23" s="857">
        <v>0</v>
      </c>
      <c r="J23" s="857">
        <v>0</v>
      </c>
      <c r="K23" s="857">
        <v>0</v>
      </c>
      <c r="L23" s="857">
        <v>0</v>
      </c>
      <c r="M23" s="857">
        <v>0</v>
      </c>
      <c r="N23" s="857">
        <v>0</v>
      </c>
      <c r="O23" s="857">
        <v>0</v>
      </c>
      <c r="P23" s="857">
        <v>0</v>
      </c>
      <c r="Q23" s="857">
        <v>66705.894734000001</v>
      </c>
      <c r="R23" s="857">
        <v>0</v>
      </c>
      <c r="S23" s="857">
        <v>65558.107734000005</v>
      </c>
      <c r="T23" s="857">
        <v>1147.787</v>
      </c>
      <c r="U23" s="857">
        <v>50811.900589999997</v>
      </c>
      <c r="V23" s="857">
        <v>0</v>
      </c>
      <c r="W23" s="857">
        <v>0</v>
      </c>
      <c r="X23" s="1010">
        <v>0.93658274475538417</v>
      </c>
    </row>
    <row r="24" spans="1:24" ht="31.5">
      <c r="A24" s="838" t="s">
        <v>2469</v>
      </c>
      <c r="B24" s="840" t="s">
        <v>1994</v>
      </c>
      <c r="C24" s="857">
        <v>8066.2596309999999</v>
      </c>
      <c r="D24" s="857">
        <v>81.691631000000001</v>
      </c>
      <c r="E24" s="857">
        <v>7398</v>
      </c>
      <c r="F24" s="857">
        <v>586.56799999999998</v>
      </c>
      <c r="G24" s="857">
        <v>7947.9952910000002</v>
      </c>
      <c r="H24" s="857">
        <v>0</v>
      </c>
      <c r="I24" s="857">
        <v>0</v>
      </c>
      <c r="J24" s="857">
        <v>0</v>
      </c>
      <c r="K24" s="857">
        <v>0</v>
      </c>
      <c r="L24" s="857">
        <v>0</v>
      </c>
      <c r="M24" s="857">
        <v>0</v>
      </c>
      <c r="N24" s="857">
        <v>0</v>
      </c>
      <c r="O24" s="857">
        <v>0</v>
      </c>
      <c r="P24" s="857">
        <v>0</v>
      </c>
      <c r="Q24" s="857">
        <v>5571.855708</v>
      </c>
      <c r="R24" s="857">
        <v>0</v>
      </c>
      <c r="S24" s="857">
        <v>5571.855708</v>
      </c>
      <c r="T24" s="857">
        <v>0</v>
      </c>
      <c r="U24" s="857">
        <v>2376.1395830000001</v>
      </c>
      <c r="V24" s="857">
        <v>0</v>
      </c>
      <c r="W24" s="857">
        <v>0</v>
      </c>
      <c r="X24" s="1010">
        <v>0.98533839159534486</v>
      </c>
    </row>
    <row r="25" spans="1:24" ht="31.5">
      <c r="A25" s="838" t="s">
        <v>2469</v>
      </c>
      <c r="B25" s="840" t="s">
        <v>1995</v>
      </c>
      <c r="C25" s="857">
        <v>1469</v>
      </c>
      <c r="D25" s="857">
        <v>0</v>
      </c>
      <c r="E25" s="857">
        <v>1469</v>
      </c>
      <c r="F25" s="857">
        <v>0</v>
      </c>
      <c r="G25" s="857">
        <v>1469</v>
      </c>
      <c r="H25" s="857">
        <v>0</v>
      </c>
      <c r="I25" s="857">
        <v>0</v>
      </c>
      <c r="J25" s="857">
        <v>0</v>
      </c>
      <c r="K25" s="857">
        <v>0</v>
      </c>
      <c r="L25" s="857">
        <v>0</v>
      </c>
      <c r="M25" s="857">
        <v>0</v>
      </c>
      <c r="N25" s="857">
        <v>0</v>
      </c>
      <c r="O25" s="857">
        <v>0</v>
      </c>
      <c r="P25" s="857">
        <v>0</v>
      </c>
      <c r="Q25" s="857">
        <v>1469</v>
      </c>
      <c r="R25" s="857">
        <v>0</v>
      </c>
      <c r="S25" s="857">
        <v>1469</v>
      </c>
      <c r="T25" s="857">
        <v>0</v>
      </c>
      <c r="U25" s="857">
        <v>0</v>
      </c>
      <c r="V25" s="857">
        <v>0</v>
      </c>
      <c r="W25" s="857">
        <v>0</v>
      </c>
      <c r="X25" s="1010">
        <v>1</v>
      </c>
    </row>
    <row r="26" spans="1:24" ht="31.5">
      <c r="A26" s="838" t="s">
        <v>2469</v>
      </c>
      <c r="B26" s="840" t="s">
        <v>1996</v>
      </c>
      <c r="C26" s="857">
        <v>1948.9380000000001</v>
      </c>
      <c r="D26" s="857">
        <v>0</v>
      </c>
      <c r="E26" s="857">
        <v>1875</v>
      </c>
      <c r="F26" s="857">
        <v>73.938000000000002</v>
      </c>
      <c r="G26" s="857">
        <v>1922.657596</v>
      </c>
      <c r="H26" s="857">
        <v>0</v>
      </c>
      <c r="I26" s="857">
        <v>0</v>
      </c>
      <c r="J26" s="857">
        <v>0</v>
      </c>
      <c r="K26" s="857">
        <v>0</v>
      </c>
      <c r="L26" s="857">
        <v>0</v>
      </c>
      <c r="M26" s="857">
        <v>0</v>
      </c>
      <c r="N26" s="857">
        <v>0</v>
      </c>
      <c r="O26" s="857">
        <v>0</v>
      </c>
      <c r="P26" s="857">
        <v>0</v>
      </c>
      <c r="Q26" s="857">
        <v>1922.657596</v>
      </c>
      <c r="R26" s="857">
        <v>0</v>
      </c>
      <c r="S26" s="857">
        <v>1922.657596</v>
      </c>
      <c r="T26" s="857">
        <v>0</v>
      </c>
      <c r="U26" s="857">
        <v>0</v>
      </c>
      <c r="V26" s="857">
        <v>0</v>
      </c>
      <c r="W26" s="857">
        <v>0</v>
      </c>
      <c r="X26" s="1010">
        <v>0.98651552589153679</v>
      </c>
    </row>
    <row r="27" spans="1:24" ht="31.5">
      <c r="A27" s="838" t="s">
        <v>2469</v>
      </c>
      <c r="B27" s="840" t="s">
        <v>1993</v>
      </c>
      <c r="C27" s="857">
        <v>10484.5442</v>
      </c>
      <c r="D27" s="857">
        <v>0</v>
      </c>
      <c r="E27" s="857">
        <v>5108</v>
      </c>
      <c r="F27" s="857">
        <v>5376.5442000000003</v>
      </c>
      <c r="G27" s="857">
        <v>5574.1986999999999</v>
      </c>
      <c r="H27" s="857">
        <v>0</v>
      </c>
      <c r="I27" s="857">
        <v>0</v>
      </c>
      <c r="J27" s="857">
        <v>0</v>
      </c>
      <c r="K27" s="857">
        <v>0</v>
      </c>
      <c r="L27" s="857">
        <v>0</v>
      </c>
      <c r="M27" s="857">
        <v>0</v>
      </c>
      <c r="N27" s="857">
        <v>0</v>
      </c>
      <c r="O27" s="857">
        <v>0</v>
      </c>
      <c r="P27" s="857">
        <v>0</v>
      </c>
      <c r="Q27" s="857">
        <v>88.512699999999995</v>
      </c>
      <c r="R27" s="857">
        <v>0</v>
      </c>
      <c r="S27" s="857">
        <v>88.512699999999995</v>
      </c>
      <c r="T27" s="857">
        <v>0</v>
      </c>
      <c r="U27" s="857">
        <v>5485.6859999999997</v>
      </c>
      <c r="V27" s="857">
        <v>0</v>
      </c>
      <c r="W27" s="857">
        <v>0</v>
      </c>
      <c r="X27" s="1010">
        <v>0.5316586580845355</v>
      </c>
    </row>
    <row r="28" spans="1:24" ht="31.5">
      <c r="A28" s="838" t="s">
        <v>2469</v>
      </c>
      <c r="B28" s="840" t="s">
        <v>1997</v>
      </c>
      <c r="C28" s="857">
        <v>216</v>
      </c>
      <c r="D28" s="857">
        <v>0</v>
      </c>
      <c r="E28" s="857">
        <v>0</v>
      </c>
      <c r="F28" s="857">
        <v>216</v>
      </c>
      <c r="G28" s="857">
        <v>216</v>
      </c>
      <c r="H28" s="857">
        <v>0</v>
      </c>
      <c r="I28" s="857">
        <v>0</v>
      </c>
      <c r="J28" s="857">
        <v>0</v>
      </c>
      <c r="K28" s="857">
        <v>0</v>
      </c>
      <c r="L28" s="857">
        <v>0</v>
      </c>
      <c r="M28" s="857">
        <v>0</v>
      </c>
      <c r="N28" s="857">
        <v>0</v>
      </c>
      <c r="O28" s="857">
        <v>0</v>
      </c>
      <c r="P28" s="857">
        <v>0</v>
      </c>
      <c r="Q28" s="857">
        <v>216</v>
      </c>
      <c r="R28" s="857">
        <v>0</v>
      </c>
      <c r="S28" s="857">
        <v>216</v>
      </c>
      <c r="T28" s="857">
        <v>0</v>
      </c>
      <c r="U28" s="857">
        <v>0</v>
      </c>
      <c r="V28" s="857">
        <v>0</v>
      </c>
      <c r="W28" s="857">
        <v>0</v>
      </c>
      <c r="X28" s="1010">
        <v>1</v>
      </c>
    </row>
    <row r="29" spans="1:24" ht="31.5">
      <c r="A29" s="838" t="s">
        <v>2469</v>
      </c>
      <c r="B29" s="840" t="s">
        <v>1998</v>
      </c>
      <c r="C29" s="857">
        <v>81</v>
      </c>
      <c r="D29" s="857">
        <v>0</v>
      </c>
      <c r="E29" s="857">
        <v>0</v>
      </c>
      <c r="F29" s="857">
        <v>81</v>
      </c>
      <c r="G29" s="857">
        <v>81</v>
      </c>
      <c r="H29" s="857">
        <v>0</v>
      </c>
      <c r="I29" s="857">
        <v>0</v>
      </c>
      <c r="J29" s="857">
        <v>0</v>
      </c>
      <c r="K29" s="857">
        <v>0</v>
      </c>
      <c r="L29" s="857">
        <v>0</v>
      </c>
      <c r="M29" s="857">
        <v>0</v>
      </c>
      <c r="N29" s="857">
        <v>0</v>
      </c>
      <c r="O29" s="857">
        <v>0</v>
      </c>
      <c r="P29" s="857">
        <v>0</v>
      </c>
      <c r="Q29" s="857">
        <v>81</v>
      </c>
      <c r="R29" s="857">
        <v>0</v>
      </c>
      <c r="S29" s="857">
        <v>81</v>
      </c>
      <c r="T29" s="857">
        <v>0</v>
      </c>
      <c r="U29" s="857">
        <v>0</v>
      </c>
      <c r="V29" s="857">
        <v>0</v>
      </c>
      <c r="W29" s="857">
        <v>0</v>
      </c>
      <c r="X29" s="1010">
        <v>1</v>
      </c>
    </row>
    <row r="30" spans="1:24" ht="31.5">
      <c r="A30" s="838" t="s">
        <v>2469</v>
      </c>
      <c r="B30" s="840" t="s">
        <v>1999</v>
      </c>
      <c r="C30" s="857">
        <v>3378.989916</v>
      </c>
      <c r="D30" s="857">
        <v>0</v>
      </c>
      <c r="E30" s="857">
        <v>3111.0719159999999</v>
      </c>
      <c r="F30" s="857">
        <v>267.91800000000001</v>
      </c>
      <c r="G30" s="857">
        <v>3356.1044860000002</v>
      </c>
      <c r="H30" s="857">
        <v>0</v>
      </c>
      <c r="I30" s="857">
        <v>0</v>
      </c>
      <c r="J30" s="857">
        <v>0</v>
      </c>
      <c r="K30" s="857">
        <v>0</v>
      </c>
      <c r="L30" s="857">
        <v>0</v>
      </c>
      <c r="M30" s="857">
        <v>0</v>
      </c>
      <c r="N30" s="857">
        <v>0</v>
      </c>
      <c r="O30" s="857">
        <v>0</v>
      </c>
      <c r="P30" s="857">
        <v>0</v>
      </c>
      <c r="Q30" s="857">
        <v>3356.1044860000002</v>
      </c>
      <c r="R30" s="857">
        <v>0</v>
      </c>
      <c r="S30" s="857">
        <v>3356.1044860000002</v>
      </c>
      <c r="T30" s="857">
        <v>0</v>
      </c>
      <c r="U30" s="857">
        <v>0</v>
      </c>
      <c r="V30" s="857">
        <v>0</v>
      </c>
      <c r="W30" s="857">
        <v>0</v>
      </c>
      <c r="X30" s="1010">
        <v>0.99322713871040746</v>
      </c>
    </row>
    <row r="31" spans="1:24">
      <c r="A31" s="838" t="s">
        <v>2469</v>
      </c>
      <c r="B31" s="840" t="s">
        <v>2000</v>
      </c>
      <c r="C31" s="857">
        <v>2011.384</v>
      </c>
      <c r="D31" s="857">
        <v>0</v>
      </c>
      <c r="E31" s="857">
        <v>1841.5219999999999</v>
      </c>
      <c r="F31" s="857">
        <v>169.86199999999999</v>
      </c>
      <c r="G31" s="857">
        <v>2010.8889999999999</v>
      </c>
      <c r="H31" s="857">
        <v>0</v>
      </c>
      <c r="I31" s="857">
        <v>0</v>
      </c>
      <c r="J31" s="857">
        <v>0</v>
      </c>
      <c r="K31" s="857">
        <v>0</v>
      </c>
      <c r="L31" s="857">
        <v>0</v>
      </c>
      <c r="M31" s="857">
        <v>0</v>
      </c>
      <c r="N31" s="857">
        <v>0</v>
      </c>
      <c r="O31" s="857">
        <v>0</v>
      </c>
      <c r="P31" s="857">
        <v>0</v>
      </c>
      <c r="Q31" s="857">
        <v>162.803</v>
      </c>
      <c r="R31" s="857">
        <v>0</v>
      </c>
      <c r="S31" s="857">
        <v>162.803</v>
      </c>
      <c r="T31" s="857">
        <v>0</v>
      </c>
      <c r="U31" s="857">
        <v>1848.086</v>
      </c>
      <c r="V31" s="857">
        <v>0</v>
      </c>
      <c r="W31" s="857">
        <v>0</v>
      </c>
      <c r="X31" s="1010">
        <v>0.99975390079666537</v>
      </c>
    </row>
    <row r="32" spans="1:24">
      <c r="A32" s="838" t="s">
        <v>2469</v>
      </c>
      <c r="B32" s="840" t="s">
        <v>2001</v>
      </c>
      <c r="C32" s="857">
        <v>2634.1089999999999</v>
      </c>
      <c r="D32" s="857">
        <v>0</v>
      </c>
      <c r="E32" s="857">
        <v>2416.741</v>
      </c>
      <c r="F32" s="857">
        <v>217.36799999999999</v>
      </c>
      <c r="G32" s="857">
        <v>2632.8311950000002</v>
      </c>
      <c r="H32" s="857">
        <v>0</v>
      </c>
      <c r="I32" s="857">
        <v>0</v>
      </c>
      <c r="J32" s="857">
        <v>0</v>
      </c>
      <c r="K32" s="857">
        <v>0</v>
      </c>
      <c r="L32" s="857">
        <v>0</v>
      </c>
      <c r="M32" s="857">
        <v>0</v>
      </c>
      <c r="N32" s="857">
        <v>0</v>
      </c>
      <c r="O32" s="857">
        <v>0</v>
      </c>
      <c r="P32" s="857">
        <v>0</v>
      </c>
      <c r="Q32" s="857">
        <v>232.78272699999999</v>
      </c>
      <c r="R32" s="857">
        <v>0</v>
      </c>
      <c r="S32" s="857">
        <v>232.78272699999999</v>
      </c>
      <c r="T32" s="857">
        <v>0</v>
      </c>
      <c r="U32" s="857">
        <v>2400.048468</v>
      </c>
      <c r="V32" s="857">
        <v>0</v>
      </c>
      <c r="W32" s="857">
        <v>0</v>
      </c>
      <c r="X32" s="1010">
        <v>0.99951490048437641</v>
      </c>
    </row>
    <row r="33" spans="1:24" ht="31.5">
      <c r="A33" s="838" t="s">
        <v>2469</v>
      </c>
      <c r="B33" s="840" t="s">
        <v>2002</v>
      </c>
      <c r="C33" s="857">
        <v>9974.9999659999994</v>
      </c>
      <c r="D33" s="857">
        <v>198.327966</v>
      </c>
      <c r="E33" s="857">
        <v>9725</v>
      </c>
      <c r="F33" s="857">
        <v>51.671999999999997</v>
      </c>
      <c r="G33" s="857">
        <v>9938.2185960000006</v>
      </c>
      <c r="H33" s="857">
        <v>0</v>
      </c>
      <c r="I33" s="857">
        <v>0</v>
      </c>
      <c r="J33" s="857">
        <v>0</v>
      </c>
      <c r="K33" s="857">
        <v>0</v>
      </c>
      <c r="L33" s="857">
        <v>0</v>
      </c>
      <c r="M33" s="857">
        <v>0</v>
      </c>
      <c r="N33" s="857">
        <v>0</v>
      </c>
      <c r="O33" s="857">
        <v>0</v>
      </c>
      <c r="P33" s="857">
        <v>0</v>
      </c>
      <c r="Q33" s="857">
        <v>8123.1494119999998</v>
      </c>
      <c r="R33" s="857">
        <v>0</v>
      </c>
      <c r="S33" s="857">
        <v>8123.1494119999998</v>
      </c>
      <c r="T33" s="857">
        <v>0</v>
      </c>
      <c r="U33" s="857">
        <v>1815.069184</v>
      </c>
      <c r="V33" s="857">
        <v>0</v>
      </c>
      <c r="W33" s="857">
        <v>0</v>
      </c>
      <c r="X33" s="1010">
        <v>0.99631264459896052</v>
      </c>
    </row>
    <row r="34" spans="1:24">
      <c r="A34" s="838" t="s">
        <v>2469</v>
      </c>
      <c r="B34" s="840" t="s">
        <v>2003</v>
      </c>
      <c r="C34" s="857">
        <v>6815.9440000000004</v>
      </c>
      <c r="D34" s="857">
        <v>0</v>
      </c>
      <c r="E34" s="857">
        <v>6604</v>
      </c>
      <c r="F34" s="857">
        <v>211.94399999999999</v>
      </c>
      <c r="G34" s="857">
        <v>6711.6440789999997</v>
      </c>
      <c r="H34" s="857">
        <v>0</v>
      </c>
      <c r="I34" s="857">
        <v>0</v>
      </c>
      <c r="J34" s="857">
        <v>0</v>
      </c>
      <c r="K34" s="857">
        <v>0</v>
      </c>
      <c r="L34" s="857">
        <v>0</v>
      </c>
      <c r="M34" s="857">
        <v>0</v>
      </c>
      <c r="N34" s="857">
        <v>0</v>
      </c>
      <c r="O34" s="857">
        <v>0</v>
      </c>
      <c r="P34" s="857">
        <v>0</v>
      </c>
      <c r="Q34" s="857">
        <v>4761.4460790000003</v>
      </c>
      <c r="R34" s="857">
        <v>0</v>
      </c>
      <c r="S34" s="857">
        <v>4761.4460790000003</v>
      </c>
      <c r="T34" s="857">
        <v>0</v>
      </c>
      <c r="U34" s="857">
        <v>1950.1980000000001</v>
      </c>
      <c r="V34" s="857">
        <v>0</v>
      </c>
      <c r="W34" s="857">
        <v>0</v>
      </c>
      <c r="X34" s="1010">
        <v>0.98469765581994206</v>
      </c>
    </row>
    <row r="35" spans="1:24">
      <c r="A35" s="838" t="s">
        <v>2469</v>
      </c>
      <c r="B35" s="840" t="s">
        <v>2004</v>
      </c>
      <c r="C35" s="857">
        <v>2012.7819999999999</v>
      </c>
      <c r="D35" s="857">
        <v>0</v>
      </c>
      <c r="E35" s="857">
        <v>1848.3489999999999</v>
      </c>
      <c r="F35" s="857">
        <v>164.43299999999999</v>
      </c>
      <c r="G35" s="857">
        <v>2006.587</v>
      </c>
      <c r="H35" s="857">
        <v>0</v>
      </c>
      <c r="I35" s="857">
        <v>0</v>
      </c>
      <c r="J35" s="857">
        <v>0</v>
      </c>
      <c r="K35" s="857">
        <v>0</v>
      </c>
      <c r="L35" s="857">
        <v>0</v>
      </c>
      <c r="M35" s="857">
        <v>0</v>
      </c>
      <c r="N35" s="857">
        <v>0</v>
      </c>
      <c r="O35" s="857">
        <v>0</v>
      </c>
      <c r="P35" s="857">
        <v>0</v>
      </c>
      <c r="Q35" s="857">
        <v>174.32</v>
      </c>
      <c r="R35" s="857">
        <v>0</v>
      </c>
      <c r="S35" s="857">
        <v>174.32</v>
      </c>
      <c r="T35" s="857">
        <v>0</v>
      </c>
      <c r="U35" s="857">
        <v>1832.2670000000001</v>
      </c>
      <c r="V35" s="857">
        <v>0</v>
      </c>
      <c r="W35" s="857">
        <v>0</v>
      </c>
      <c r="X35" s="1010">
        <v>0.99692217040891662</v>
      </c>
    </row>
    <row r="36" spans="1:24" ht="31.5">
      <c r="A36" s="838" t="s">
        <v>2469</v>
      </c>
      <c r="B36" s="840" t="s">
        <v>2476</v>
      </c>
      <c r="C36" s="857">
        <v>651.49580000000003</v>
      </c>
      <c r="D36" s="857">
        <v>0</v>
      </c>
      <c r="E36" s="857">
        <v>0</v>
      </c>
      <c r="F36" s="857">
        <v>651.49580000000003</v>
      </c>
      <c r="G36" s="857">
        <v>604.27402600000005</v>
      </c>
      <c r="H36" s="857">
        <v>0</v>
      </c>
      <c r="I36" s="857">
        <v>0</v>
      </c>
      <c r="J36" s="857">
        <v>0</v>
      </c>
      <c r="K36" s="857">
        <v>0</v>
      </c>
      <c r="L36" s="857">
        <v>0</v>
      </c>
      <c r="M36" s="857">
        <v>0</v>
      </c>
      <c r="N36" s="857">
        <v>0</v>
      </c>
      <c r="O36" s="857">
        <v>0</v>
      </c>
      <c r="P36" s="857">
        <v>0</v>
      </c>
      <c r="Q36" s="857">
        <v>604.27402600000005</v>
      </c>
      <c r="R36" s="857">
        <v>0</v>
      </c>
      <c r="S36" s="857">
        <v>604.27402600000005</v>
      </c>
      <c r="T36" s="857">
        <v>0</v>
      </c>
      <c r="U36" s="857">
        <v>0</v>
      </c>
      <c r="V36" s="857">
        <v>0</v>
      </c>
      <c r="W36" s="857">
        <v>0</v>
      </c>
      <c r="X36" s="1010">
        <v>0.92751791492746383</v>
      </c>
    </row>
    <row r="37" spans="1:24">
      <c r="A37" s="838" t="s">
        <v>2469</v>
      </c>
      <c r="B37" s="840" t="s">
        <v>2005</v>
      </c>
      <c r="C37" s="857">
        <v>4483.2219999999998</v>
      </c>
      <c r="D37" s="857">
        <v>0</v>
      </c>
      <c r="E37" s="857">
        <v>3710.5239999999999</v>
      </c>
      <c r="F37" s="857">
        <v>772.69799999999998</v>
      </c>
      <c r="G37" s="857">
        <v>4479.1707349999997</v>
      </c>
      <c r="H37" s="857">
        <v>0</v>
      </c>
      <c r="I37" s="857">
        <v>0</v>
      </c>
      <c r="J37" s="857">
        <v>0</v>
      </c>
      <c r="K37" s="857">
        <v>0</v>
      </c>
      <c r="L37" s="857">
        <v>0</v>
      </c>
      <c r="M37" s="857">
        <v>0</v>
      </c>
      <c r="N37" s="857">
        <v>0</v>
      </c>
      <c r="O37" s="857">
        <v>0</v>
      </c>
      <c r="P37" s="857">
        <v>0</v>
      </c>
      <c r="Q37" s="857">
        <v>215.142627</v>
      </c>
      <c r="R37" s="857">
        <v>0</v>
      </c>
      <c r="S37" s="857">
        <v>215.142627</v>
      </c>
      <c r="T37" s="857">
        <v>0</v>
      </c>
      <c r="U37" s="857">
        <v>4264.0281080000004</v>
      </c>
      <c r="V37" s="857">
        <v>0</v>
      </c>
      <c r="W37" s="857">
        <v>0</v>
      </c>
      <c r="X37" s="1010">
        <v>0.99909634967886929</v>
      </c>
    </row>
    <row r="38" spans="1:24">
      <c r="A38" s="838" t="s">
        <v>2469</v>
      </c>
      <c r="B38" s="840" t="s">
        <v>2006</v>
      </c>
      <c r="C38" s="857">
        <v>1758.0989999999999</v>
      </c>
      <c r="D38" s="857">
        <v>30</v>
      </c>
      <c r="E38" s="857">
        <v>1577.627</v>
      </c>
      <c r="F38" s="857">
        <v>150.47200000000001</v>
      </c>
      <c r="G38" s="857">
        <v>1758.0989999999999</v>
      </c>
      <c r="H38" s="857">
        <v>0</v>
      </c>
      <c r="I38" s="857">
        <v>0</v>
      </c>
      <c r="J38" s="857">
        <v>0</v>
      </c>
      <c r="K38" s="857">
        <v>0</v>
      </c>
      <c r="L38" s="857">
        <v>0</v>
      </c>
      <c r="M38" s="857">
        <v>0</v>
      </c>
      <c r="N38" s="857">
        <v>0</v>
      </c>
      <c r="O38" s="857">
        <v>0</v>
      </c>
      <c r="P38" s="857">
        <v>0</v>
      </c>
      <c r="Q38" s="857">
        <v>179.75700000000001</v>
      </c>
      <c r="R38" s="857">
        <v>0</v>
      </c>
      <c r="S38" s="857">
        <v>179.75700000000001</v>
      </c>
      <c r="T38" s="857">
        <v>0</v>
      </c>
      <c r="U38" s="857">
        <v>1578.3420000000001</v>
      </c>
      <c r="V38" s="857">
        <v>0</v>
      </c>
      <c r="W38" s="857">
        <v>0</v>
      </c>
      <c r="X38" s="1010">
        <v>1</v>
      </c>
    </row>
    <row r="39" spans="1:24">
      <c r="A39" s="838" t="s">
        <v>2469</v>
      </c>
      <c r="B39" s="840" t="s">
        <v>2007</v>
      </c>
      <c r="C39" s="857">
        <v>2221.377</v>
      </c>
      <c r="D39" s="857">
        <v>0</v>
      </c>
      <c r="E39" s="857">
        <v>2025.6320000000001</v>
      </c>
      <c r="F39" s="857">
        <v>195.745</v>
      </c>
      <c r="G39" s="857">
        <v>2221.377</v>
      </c>
      <c r="H39" s="857">
        <v>0</v>
      </c>
      <c r="I39" s="857">
        <v>0</v>
      </c>
      <c r="J39" s="857">
        <v>0</v>
      </c>
      <c r="K39" s="857">
        <v>0</v>
      </c>
      <c r="L39" s="857">
        <v>0</v>
      </c>
      <c r="M39" s="857">
        <v>0</v>
      </c>
      <c r="N39" s="857">
        <v>0</v>
      </c>
      <c r="O39" s="857">
        <v>0</v>
      </c>
      <c r="P39" s="857">
        <v>0</v>
      </c>
      <c r="Q39" s="857">
        <v>229.482</v>
      </c>
      <c r="R39" s="857">
        <v>0</v>
      </c>
      <c r="S39" s="857">
        <v>229.482</v>
      </c>
      <c r="T39" s="857">
        <v>0</v>
      </c>
      <c r="U39" s="857">
        <v>1991.895</v>
      </c>
      <c r="V39" s="857">
        <v>0</v>
      </c>
      <c r="W39" s="857">
        <v>0</v>
      </c>
      <c r="X39" s="1010">
        <v>1</v>
      </c>
    </row>
    <row r="40" spans="1:24" ht="31.5">
      <c r="A40" s="838" t="s">
        <v>2469</v>
      </c>
      <c r="B40" s="840" t="s">
        <v>2008</v>
      </c>
      <c r="C40" s="857">
        <v>1626</v>
      </c>
      <c r="D40" s="857">
        <v>0</v>
      </c>
      <c r="E40" s="857">
        <v>1626</v>
      </c>
      <c r="F40" s="857">
        <v>0</v>
      </c>
      <c r="G40" s="857">
        <v>1625.8724010000001</v>
      </c>
      <c r="H40" s="857">
        <v>0</v>
      </c>
      <c r="I40" s="857">
        <v>0</v>
      </c>
      <c r="J40" s="857">
        <v>0</v>
      </c>
      <c r="K40" s="857">
        <v>0</v>
      </c>
      <c r="L40" s="857">
        <v>0</v>
      </c>
      <c r="M40" s="857">
        <v>0</v>
      </c>
      <c r="N40" s="857">
        <v>0</v>
      </c>
      <c r="O40" s="857">
        <v>0</v>
      </c>
      <c r="P40" s="857">
        <v>0</v>
      </c>
      <c r="Q40" s="857">
        <v>1625.8724010000001</v>
      </c>
      <c r="R40" s="857">
        <v>0</v>
      </c>
      <c r="S40" s="857">
        <v>1625.8724010000001</v>
      </c>
      <c r="T40" s="857">
        <v>0</v>
      </c>
      <c r="U40" s="857">
        <v>0</v>
      </c>
      <c r="V40" s="857">
        <v>0</v>
      </c>
      <c r="W40" s="857">
        <v>0</v>
      </c>
      <c r="X40" s="1010">
        <v>0.9999215258302584</v>
      </c>
    </row>
    <row r="41" spans="1:24" ht="31.5">
      <c r="A41" s="838" t="s">
        <v>2469</v>
      </c>
      <c r="B41" s="840" t="s">
        <v>2009</v>
      </c>
      <c r="C41" s="857">
        <v>3535.39</v>
      </c>
      <c r="D41" s="857">
        <v>0</v>
      </c>
      <c r="E41" s="857">
        <v>2206.5410000000002</v>
      </c>
      <c r="F41" s="857">
        <v>1328.8489999999999</v>
      </c>
      <c r="G41" s="857">
        <v>3428.3680180000001</v>
      </c>
      <c r="H41" s="857">
        <v>0</v>
      </c>
      <c r="I41" s="857">
        <v>0</v>
      </c>
      <c r="J41" s="857">
        <v>0</v>
      </c>
      <c r="K41" s="857">
        <v>0</v>
      </c>
      <c r="L41" s="857">
        <v>0</v>
      </c>
      <c r="M41" s="857">
        <v>0</v>
      </c>
      <c r="N41" s="857">
        <v>0</v>
      </c>
      <c r="O41" s="857">
        <v>0</v>
      </c>
      <c r="P41" s="857">
        <v>0</v>
      </c>
      <c r="Q41" s="857">
        <v>933.91531999999995</v>
      </c>
      <c r="R41" s="857">
        <v>0</v>
      </c>
      <c r="S41" s="857">
        <v>933.91531999999995</v>
      </c>
      <c r="T41" s="857">
        <v>0</v>
      </c>
      <c r="U41" s="857">
        <v>2494.4526980000001</v>
      </c>
      <c r="V41" s="857">
        <v>0</v>
      </c>
      <c r="W41" s="857">
        <v>0</v>
      </c>
      <c r="X41" s="1010">
        <v>0.96972838017870733</v>
      </c>
    </row>
    <row r="42" spans="1:24">
      <c r="A42" s="838" t="s">
        <v>2469</v>
      </c>
      <c r="B42" s="840" t="s">
        <v>2010</v>
      </c>
      <c r="C42" s="857">
        <v>4742.8789999999999</v>
      </c>
      <c r="D42" s="857">
        <v>0</v>
      </c>
      <c r="E42" s="857">
        <v>4349.8249999999998</v>
      </c>
      <c r="F42" s="857">
        <v>393.05399999999997</v>
      </c>
      <c r="G42" s="857">
        <v>4741.4630269999998</v>
      </c>
      <c r="H42" s="857">
        <v>0</v>
      </c>
      <c r="I42" s="857">
        <v>0</v>
      </c>
      <c r="J42" s="857">
        <v>0</v>
      </c>
      <c r="K42" s="857">
        <v>0</v>
      </c>
      <c r="L42" s="857">
        <v>0</v>
      </c>
      <c r="M42" s="857">
        <v>0</v>
      </c>
      <c r="N42" s="857">
        <v>0</v>
      </c>
      <c r="O42" s="857">
        <v>0</v>
      </c>
      <c r="P42" s="857">
        <v>0</v>
      </c>
      <c r="Q42" s="857">
        <v>166.204027</v>
      </c>
      <c r="R42" s="857">
        <v>0</v>
      </c>
      <c r="S42" s="857">
        <v>166.204027</v>
      </c>
      <c r="T42" s="857">
        <v>0</v>
      </c>
      <c r="U42" s="857">
        <v>4575.259</v>
      </c>
      <c r="V42" s="857">
        <v>0</v>
      </c>
      <c r="W42" s="857">
        <v>0</v>
      </c>
      <c r="X42" s="1010">
        <v>0.99970145285173839</v>
      </c>
    </row>
    <row r="43" spans="1:24" ht="31.5">
      <c r="A43" s="838" t="s">
        <v>2469</v>
      </c>
      <c r="B43" s="840" t="s">
        <v>2011</v>
      </c>
      <c r="C43" s="857">
        <v>14670.08</v>
      </c>
      <c r="D43" s="857">
        <v>120</v>
      </c>
      <c r="E43" s="857">
        <v>10759.143</v>
      </c>
      <c r="F43" s="857">
        <v>3790.9369999999999</v>
      </c>
      <c r="G43" s="857">
        <v>14042.823742</v>
      </c>
      <c r="H43" s="857">
        <v>0</v>
      </c>
      <c r="I43" s="857">
        <v>0</v>
      </c>
      <c r="J43" s="857">
        <v>0</v>
      </c>
      <c r="K43" s="857">
        <v>0</v>
      </c>
      <c r="L43" s="857">
        <v>0</v>
      </c>
      <c r="M43" s="857">
        <v>0</v>
      </c>
      <c r="N43" s="857">
        <v>0</v>
      </c>
      <c r="O43" s="857">
        <v>0</v>
      </c>
      <c r="P43" s="857">
        <v>0</v>
      </c>
      <c r="Q43" s="857">
        <v>4947.6705609999999</v>
      </c>
      <c r="R43" s="857">
        <v>0</v>
      </c>
      <c r="S43" s="857">
        <v>4947.6705609999999</v>
      </c>
      <c r="T43" s="857">
        <v>0</v>
      </c>
      <c r="U43" s="857">
        <v>9095.1531809999997</v>
      </c>
      <c r="V43" s="857">
        <v>0</v>
      </c>
      <c r="W43" s="857">
        <v>0</v>
      </c>
      <c r="X43" s="1010">
        <v>0.95724247870495593</v>
      </c>
    </row>
    <row r="44" spans="1:24" ht="31.5">
      <c r="A44" s="838" t="s">
        <v>2469</v>
      </c>
      <c r="B44" s="840" t="s">
        <v>2012</v>
      </c>
      <c r="C44" s="857">
        <v>4180.68642</v>
      </c>
      <c r="D44" s="857">
        <v>97.604420000000005</v>
      </c>
      <c r="E44" s="857">
        <v>2446</v>
      </c>
      <c r="F44" s="857">
        <v>1637.0820000000001</v>
      </c>
      <c r="G44" s="857">
        <v>3785.4</v>
      </c>
      <c r="H44" s="857">
        <v>0</v>
      </c>
      <c r="I44" s="857">
        <v>0</v>
      </c>
      <c r="J44" s="857">
        <v>0</v>
      </c>
      <c r="K44" s="857">
        <v>0</v>
      </c>
      <c r="L44" s="857">
        <v>0</v>
      </c>
      <c r="M44" s="857">
        <v>0</v>
      </c>
      <c r="N44" s="857">
        <v>0</v>
      </c>
      <c r="O44" s="857">
        <v>0</v>
      </c>
      <c r="P44" s="857">
        <v>0</v>
      </c>
      <c r="Q44" s="857">
        <v>3785.4</v>
      </c>
      <c r="R44" s="857">
        <v>0</v>
      </c>
      <c r="S44" s="857">
        <v>3785.4</v>
      </c>
      <c r="T44" s="857">
        <v>0</v>
      </c>
      <c r="U44" s="857">
        <v>0</v>
      </c>
      <c r="V44" s="857">
        <v>0</v>
      </c>
      <c r="W44" s="857">
        <v>0</v>
      </c>
      <c r="X44" s="1010">
        <v>0.90544939746999731</v>
      </c>
    </row>
    <row r="45" spans="1:24">
      <c r="A45" s="838" t="s">
        <v>2469</v>
      </c>
      <c r="B45" s="840" t="s">
        <v>2013</v>
      </c>
      <c r="C45" s="857">
        <v>9913.8829999999998</v>
      </c>
      <c r="D45" s="857">
        <v>0</v>
      </c>
      <c r="E45" s="857">
        <v>9226</v>
      </c>
      <c r="F45" s="857">
        <v>687.88300000000004</v>
      </c>
      <c r="G45" s="857">
        <v>9913.8828429999994</v>
      </c>
      <c r="H45" s="857">
        <v>0</v>
      </c>
      <c r="I45" s="857">
        <v>0</v>
      </c>
      <c r="J45" s="857">
        <v>0</v>
      </c>
      <c r="K45" s="857">
        <v>0</v>
      </c>
      <c r="L45" s="857">
        <v>0</v>
      </c>
      <c r="M45" s="857">
        <v>0</v>
      </c>
      <c r="N45" s="857">
        <v>0</v>
      </c>
      <c r="O45" s="857">
        <v>0</v>
      </c>
      <c r="P45" s="857">
        <v>0</v>
      </c>
      <c r="Q45" s="857">
        <v>9913.8828429999994</v>
      </c>
      <c r="R45" s="857">
        <v>0</v>
      </c>
      <c r="S45" s="857">
        <v>9913.8828429999994</v>
      </c>
      <c r="T45" s="857">
        <v>0</v>
      </c>
      <c r="U45" s="857">
        <v>0</v>
      </c>
      <c r="V45" s="857">
        <v>0</v>
      </c>
      <c r="W45" s="857">
        <v>0</v>
      </c>
      <c r="X45" s="1010">
        <v>0.99999998416362179</v>
      </c>
    </row>
    <row r="46" spans="1:24">
      <c r="A46" s="838" t="s">
        <v>2469</v>
      </c>
      <c r="B46" s="840" t="s">
        <v>2014</v>
      </c>
      <c r="C46" s="857">
        <v>12740.727999999999</v>
      </c>
      <c r="D46" s="857">
        <v>105.313</v>
      </c>
      <c r="E46" s="857">
        <v>9157.384</v>
      </c>
      <c r="F46" s="857">
        <v>3478.0309999999999</v>
      </c>
      <c r="G46" s="857">
        <v>12536.962356</v>
      </c>
      <c r="H46" s="857">
        <v>0</v>
      </c>
      <c r="I46" s="857">
        <v>0</v>
      </c>
      <c r="J46" s="857">
        <v>0</v>
      </c>
      <c r="K46" s="857">
        <v>0</v>
      </c>
      <c r="L46" s="857">
        <v>0</v>
      </c>
      <c r="M46" s="857">
        <v>0</v>
      </c>
      <c r="N46" s="857">
        <v>0</v>
      </c>
      <c r="O46" s="857">
        <v>0</v>
      </c>
      <c r="P46" s="857">
        <v>0</v>
      </c>
      <c r="Q46" s="857">
        <v>10389.321356</v>
      </c>
      <c r="R46" s="857">
        <v>0</v>
      </c>
      <c r="S46" s="857">
        <v>10389.321356</v>
      </c>
      <c r="T46" s="857">
        <v>0</v>
      </c>
      <c r="U46" s="857">
        <v>2147.6410000000001</v>
      </c>
      <c r="V46" s="857">
        <v>0</v>
      </c>
      <c r="W46" s="857">
        <v>0</v>
      </c>
      <c r="X46" s="1010">
        <v>0.98400675032070384</v>
      </c>
    </row>
    <row r="47" spans="1:24" ht="31.5">
      <c r="A47" s="838" t="s">
        <v>2469</v>
      </c>
      <c r="B47" s="840" t="s">
        <v>2015</v>
      </c>
      <c r="C47" s="857">
        <v>3212.48</v>
      </c>
      <c r="D47" s="857">
        <v>0</v>
      </c>
      <c r="E47" s="857">
        <v>2902</v>
      </c>
      <c r="F47" s="857">
        <v>310.48</v>
      </c>
      <c r="G47" s="857">
        <v>3178.5463679999998</v>
      </c>
      <c r="H47" s="857">
        <v>0</v>
      </c>
      <c r="I47" s="857">
        <v>0</v>
      </c>
      <c r="J47" s="857">
        <v>0</v>
      </c>
      <c r="K47" s="857">
        <v>0</v>
      </c>
      <c r="L47" s="857">
        <v>0</v>
      </c>
      <c r="M47" s="857">
        <v>0</v>
      </c>
      <c r="N47" s="857">
        <v>0</v>
      </c>
      <c r="O47" s="857">
        <v>0</v>
      </c>
      <c r="P47" s="857">
        <v>0</v>
      </c>
      <c r="Q47" s="857">
        <v>86.5</v>
      </c>
      <c r="R47" s="857">
        <v>0</v>
      </c>
      <c r="S47" s="857">
        <v>86.5</v>
      </c>
      <c r="T47" s="857">
        <v>0</v>
      </c>
      <c r="U47" s="857">
        <v>3092.0463679999998</v>
      </c>
      <c r="V47" s="857">
        <v>0</v>
      </c>
      <c r="W47" s="857">
        <v>0</v>
      </c>
      <c r="X47" s="1010">
        <v>0.98943693594979576</v>
      </c>
    </row>
    <row r="48" spans="1:24" ht="31.5">
      <c r="A48" s="838" t="s">
        <v>2469</v>
      </c>
      <c r="B48" s="840" t="s">
        <v>2016</v>
      </c>
      <c r="C48" s="857">
        <v>2022.5820000000001</v>
      </c>
      <c r="D48" s="857">
        <v>0</v>
      </c>
      <c r="E48" s="857">
        <v>1703</v>
      </c>
      <c r="F48" s="857">
        <v>319.58199999999999</v>
      </c>
      <c r="G48" s="857">
        <v>1972.7984240000001</v>
      </c>
      <c r="H48" s="857">
        <v>0</v>
      </c>
      <c r="I48" s="857">
        <v>0</v>
      </c>
      <c r="J48" s="857">
        <v>0</v>
      </c>
      <c r="K48" s="857">
        <v>0</v>
      </c>
      <c r="L48" s="857">
        <v>0</v>
      </c>
      <c r="M48" s="857">
        <v>0</v>
      </c>
      <c r="N48" s="857">
        <v>0</v>
      </c>
      <c r="O48" s="857">
        <v>0</v>
      </c>
      <c r="P48" s="857">
        <v>0</v>
      </c>
      <c r="Q48" s="857">
        <v>1972.7984240000001</v>
      </c>
      <c r="R48" s="857">
        <v>0</v>
      </c>
      <c r="S48" s="857">
        <v>1972.7984240000001</v>
      </c>
      <c r="T48" s="857">
        <v>0</v>
      </c>
      <c r="U48" s="857">
        <v>0</v>
      </c>
      <c r="V48" s="857">
        <v>0</v>
      </c>
      <c r="W48" s="857">
        <v>0</v>
      </c>
      <c r="X48" s="1010">
        <v>0.97538612723736295</v>
      </c>
    </row>
    <row r="49" spans="1:24" ht="31.5">
      <c r="A49" s="838" t="s">
        <v>2469</v>
      </c>
      <c r="B49" s="840" t="s">
        <v>2017</v>
      </c>
      <c r="C49" s="857">
        <v>4606.4286000000002</v>
      </c>
      <c r="D49" s="857">
        <v>0.84860000000000002</v>
      </c>
      <c r="E49" s="857">
        <v>3215</v>
      </c>
      <c r="F49" s="857">
        <v>1390.58</v>
      </c>
      <c r="G49" s="857">
        <v>3638.8397399999999</v>
      </c>
      <c r="H49" s="857">
        <v>0</v>
      </c>
      <c r="I49" s="857">
        <v>0</v>
      </c>
      <c r="J49" s="857">
        <v>0</v>
      </c>
      <c r="K49" s="857">
        <v>0</v>
      </c>
      <c r="L49" s="857">
        <v>0</v>
      </c>
      <c r="M49" s="857">
        <v>0</v>
      </c>
      <c r="N49" s="857">
        <v>0</v>
      </c>
      <c r="O49" s="857">
        <v>0</v>
      </c>
      <c r="P49" s="857">
        <v>0</v>
      </c>
      <c r="Q49" s="857">
        <v>3638.8397399999999</v>
      </c>
      <c r="R49" s="857">
        <v>0</v>
      </c>
      <c r="S49" s="857">
        <v>3638.8397399999999</v>
      </c>
      <c r="T49" s="857">
        <v>0</v>
      </c>
      <c r="U49" s="857">
        <v>0</v>
      </c>
      <c r="V49" s="857">
        <v>0</v>
      </c>
      <c r="W49" s="857">
        <v>0</v>
      </c>
      <c r="X49" s="1010">
        <v>0.78994814768213273</v>
      </c>
    </row>
    <row r="50" spans="1:24" ht="47.25">
      <c r="A50" s="838" t="s">
        <v>2469</v>
      </c>
      <c r="B50" s="840" t="s">
        <v>2018</v>
      </c>
      <c r="C50" s="857">
        <v>768.55100000000004</v>
      </c>
      <c r="D50" s="857">
        <v>0</v>
      </c>
      <c r="E50" s="857">
        <v>719.39300000000003</v>
      </c>
      <c r="F50" s="857">
        <v>49.158000000000001</v>
      </c>
      <c r="G50" s="857">
        <v>768.55046400000003</v>
      </c>
      <c r="H50" s="857">
        <v>0</v>
      </c>
      <c r="I50" s="857">
        <v>0</v>
      </c>
      <c r="J50" s="857">
        <v>0</v>
      </c>
      <c r="K50" s="857">
        <v>0</v>
      </c>
      <c r="L50" s="857">
        <v>0</v>
      </c>
      <c r="M50" s="857">
        <v>0</v>
      </c>
      <c r="N50" s="857">
        <v>0</v>
      </c>
      <c r="O50" s="857">
        <v>0</v>
      </c>
      <c r="P50" s="857">
        <v>0</v>
      </c>
      <c r="Q50" s="857">
        <v>492.93346400000001</v>
      </c>
      <c r="R50" s="857">
        <v>0</v>
      </c>
      <c r="S50" s="857">
        <v>492.93346400000001</v>
      </c>
      <c r="T50" s="857">
        <v>0</v>
      </c>
      <c r="U50" s="857">
        <v>275.61700000000002</v>
      </c>
      <c r="V50" s="857">
        <v>0</v>
      </c>
      <c r="W50" s="857">
        <v>0</v>
      </c>
      <c r="X50" s="1010">
        <v>0.99999930258369318</v>
      </c>
    </row>
    <row r="51" spans="1:24" ht="31.5">
      <c r="A51" s="838" t="s">
        <v>2469</v>
      </c>
      <c r="B51" s="840" t="s">
        <v>2019</v>
      </c>
      <c r="C51" s="857">
        <v>3714.35</v>
      </c>
      <c r="D51" s="857">
        <v>0</v>
      </c>
      <c r="E51" s="857">
        <v>3306.2089999999998</v>
      </c>
      <c r="F51" s="857">
        <v>408.14100000000002</v>
      </c>
      <c r="G51" s="857">
        <v>3704.224307</v>
      </c>
      <c r="H51" s="857">
        <v>0</v>
      </c>
      <c r="I51" s="857">
        <v>0</v>
      </c>
      <c r="J51" s="857">
        <v>0</v>
      </c>
      <c r="K51" s="857">
        <v>0</v>
      </c>
      <c r="L51" s="857">
        <v>0</v>
      </c>
      <c r="M51" s="857">
        <v>0</v>
      </c>
      <c r="N51" s="857">
        <v>0</v>
      </c>
      <c r="O51" s="857">
        <v>0</v>
      </c>
      <c r="P51" s="857">
        <v>0</v>
      </c>
      <c r="Q51" s="857">
        <v>114.252307</v>
      </c>
      <c r="R51" s="857">
        <v>0</v>
      </c>
      <c r="S51" s="857">
        <v>114.252307</v>
      </c>
      <c r="T51" s="857">
        <v>0</v>
      </c>
      <c r="U51" s="857">
        <v>3589.9720000000002</v>
      </c>
      <c r="V51" s="857">
        <v>0</v>
      </c>
      <c r="W51" s="857">
        <v>0</v>
      </c>
      <c r="X51" s="1010">
        <v>0.9972738990671316</v>
      </c>
    </row>
    <row r="52" spans="1:24" ht="47.25">
      <c r="A52" s="838" t="s">
        <v>2469</v>
      </c>
      <c r="B52" s="840" t="s">
        <v>2020</v>
      </c>
      <c r="C52" s="857">
        <v>1296.7670000000001</v>
      </c>
      <c r="D52" s="857">
        <v>0</v>
      </c>
      <c r="E52" s="857">
        <v>906.10599999999999</v>
      </c>
      <c r="F52" s="857">
        <v>390.661</v>
      </c>
      <c r="G52" s="857">
        <v>1147.787</v>
      </c>
      <c r="H52" s="857">
        <v>0</v>
      </c>
      <c r="I52" s="857">
        <v>0</v>
      </c>
      <c r="J52" s="857">
        <v>0</v>
      </c>
      <c r="K52" s="857">
        <v>0</v>
      </c>
      <c r="L52" s="857">
        <v>0</v>
      </c>
      <c r="M52" s="857">
        <v>0</v>
      </c>
      <c r="N52" s="857">
        <v>0</v>
      </c>
      <c r="O52" s="857">
        <v>0</v>
      </c>
      <c r="P52" s="857">
        <v>0</v>
      </c>
      <c r="Q52" s="857">
        <v>1147.787</v>
      </c>
      <c r="R52" s="857">
        <v>0</v>
      </c>
      <c r="S52" s="857">
        <v>0</v>
      </c>
      <c r="T52" s="857">
        <v>1147.787</v>
      </c>
      <c r="U52" s="857">
        <v>0</v>
      </c>
      <c r="V52" s="857">
        <v>0</v>
      </c>
      <c r="W52" s="857">
        <v>0</v>
      </c>
      <c r="X52" s="1010">
        <v>0.88511428807179704</v>
      </c>
    </row>
    <row r="53" spans="1:24" ht="47.25">
      <c r="A53" s="838" t="s">
        <v>2469</v>
      </c>
      <c r="B53" s="840" t="s">
        <v>2480</v>
      </c>
      <c r="C53" s="857">
        <v>236.131</v>
      </c>
      <c r="D53" s="857">
        <v>0</v>
      </c>
      <c r="E53" s="857">
        <v>0</v>
      </c>
      <c r="F53" s="857">
        <v>236.131</v>
      </c>
      <c r="G53" s="857">
        <v>102.22993</v>
      </c>
      <c r="H53" s="857">
        <v>0</v>
      </c>
      <c r="I53" s="857">
        <v>0</v>
      </c>
      <c r="J53" s="857">
        <v>0</v>
      </c>
      <c r="K53" s="857">
        <v>0</v>
      </c>
      <c r="L53" s="857">
        <v>0</v>
      </c>
      <c r="M53" s="857">
        <v>0</v>
      </c>
      <c r="N53" s="857">
        <v>0</v>
      </c>
      <c r="O53" s="857">
        <v>0</v>
      </c>
      <c r="P53" s="857">
        <v>0</v>
      </c>
      <c r="Q53" s="857">
        <v>102.22993</v>
      </c>
      <c r="R53" s="857">
        <v>0</v>
      </c>
      <c r="S53" s="857">
        <v>102.22993</v>
      </c>
      <c r="T53" s="857">
        <v>0</v>
      </c>
      <c r="U53" s="857">
        <v>0</v>
      </c>
      <c r="V53" s="857">
        <v>0</v>
      </c>
      <c r="W53" s="857">
        <v>0</v>
      </c>
      <c r="X53" s="1010">
        <v>0.43293735257124222</v>
      </c>
    </row>
    <row r="54" spans="1:24">
      <c r="A54" s="838" t="s">
        <v>1976</v>
      </c>
      <c r="B54" s="839" t="s">
        <v>461</v>
      </c>
      <c r="C54" s="857">
        <v>11127.25</v>
      </c>
      <c r="D54" s="857">
        <v>113.831</v>
      </c>
      <c r="E54" s="857">
        <v>6706</v>
      </c>
      <c r="F54" s="857">
        <v>4307.4189999999999</v>
      </c>
      <c r="G54" s="857">
        <v>10395.714</v>
      </c>
      <c r="H54" s="857">
        <v>0</v>
      </c>
      <c r="I54" s="857">
        <v>0</v>
      </c>
      <c r="J54" s="857">
        <v>0</v>
      </c>
      <c r="K54" s="857">
        <v>0</v>
      </c>
      <c r="L54" s="857">
        <v>0</v>
      </c>
      <c r="M54" s="857">
        <v>1987.9580000000001</v>
      </c>
      <c r="N54" s="857">
        <v>0</v>
      </c>
      <c r="O54" s="857">
        <v>0</v>
      </c>
      <c r="P54" s="857">
        <v>0</v>
      </c>
      <c r="Q54" s="857">
        <v>256.24</v>
      </c>
      <c r="R54" s="857">
        <v>0</v>
      </c>
      <c r="S54" s="857">
        <v>0</v>
      </c>
      <c r="T54" s="857">
        <v>256.24</v>
      </c>
      <c r="U54" s="857">
        <v>7876.9960000000001</v>
      </c>
      <c r="V54" s="857">
        <v>0</v>
      </c>
      <c r="W54" s="857">
        <v>274.52</v>
      </c>
      <c r="X54" s="1010">
        <v>0.9342572513424251</v>
      </c>
    </row>
    <row r="55" spans="1:24" ht="31.5">
      <c r="A55" s="838" t="s">
        <v>2469</v>
      </c>
      <c r="B55" s="840" t="s">
        <v>2021</v>
      </c>
      <c r="C55" s="857">
        <v>11127.25</v>
      </c>
      <c r="D55" s="857">
        <v>113.831</v>
      </c>
      <c r="E55" s="857">
        <v>6706</v>
      </c>
      <c r="F55" s="857">
        <v>4307.4189999999999</v>
      </c>
      <c r="G55" s="857">
        <v>10395.714</v>
      </c>
      <c r="H55" s="857">
        <v>0</v>
      </c>
      <c r="I55" s="857">
        <v>0</v>
      </c>
      <c r="J55" s="857">
        <v>0</v>
      </c>
      <c r="K55" s="857">
        <v>0</v>
      </c>
      <c r="L55" s="857">
        <v>0</v>
      </c>
      <c r="M55" s="857">
        <v>1987.9580000000001</v>
      </c>
      <c r="N55" s="857">
        <v>0</v>
      </c>
      <c r="O55" s="857">
        <v>0</v>
      </c>
      <c r="P55" s="857">
        <v>0</v>
      </c>
      <c r="Q55" s="857">
        <v>256.24</v>
      </c>
      <c r="R55" s="857">
        <v>0</v>
      </c>
      <c r="S55" s="857">
        <v>0</v>
      </c>
      <c r="T55" s="857">
        <v>256.24</v>
      </c>
      <c r="U55" s="857">
        <v>7876.9960000000001</v>
      </c>
      <c r="V55" s="857">
        <v>0</v>
      </c>
      <c r="W55" s="857">
        <v>274.52</v>
      </c>
      <c r="X55" s="1010">
        <v>0.9342572513424251</v>
      </c>
    </row>
    <row r="56" spans="1:24">
      <c r="A56" s="838" t="s">
        <v>1977</v>
      </c>
      <c r="B56" s="839" t="s">
        <v>512</v>
      </c>
      <c r="C56" s="857">
        <v>12195.353616</v>
      </c>
      <c r="D56" s="857">
        <v>233.68461600000001</v>
      </c>
      <c r="E56" s="857">
        <v>11068.672</v>
      </c>
      <c r="F56" s="857">
        <v>892.99699999999996</v>
      </c>
      <c r="G56" s="857">
        <v>12126.526696000001</v>
      </c>
      <c r="H56" s="857">
        <v>127.01900000000001</v>
      </c>
      <c r="I56" s="857">
        <v>0</v>
      </c>
      <c r="J56" s="857">
        <v>0</v>
      </c>
      <c r="K56" s="857">
        <v>0</v>
      </c>
      <c r="L56" s="857">
        <v>0</v>
      </c>
      <c r="M56" s="857">
        <v>233.68461600000001</v>
      </c>
      <c r="N56" s="857">
        <v>0</v>
      </c>
      <c r="O56" s="857">
        <v>0</v>
      </c>
      <c r="P56" s="857">
        <v>0</v>
      </c>
      <c r="Q56" s="857">
        <v>3113.3031089999999</v>
      </c>
      <c r="R56" s="857">
        <v>0</v>
      </c>
      <c r="S56" s="857">
        <v>0</v>
      </c>
      <c r="T56" s="857">
        <v>3113.3031089999999</v>
      </c>
      <c r="U56" s="857">
        <v>8376.7569710000007</v>
      </c>
      <c r="V56" s="857">
        <v>0</v>
      </c>
      <c r="W56" s="857">
        <v>275.76299999999998</v>
      </c>
      <c r="X56" s="1010">
        <v>0.99435629977061912</v>
      </c>
    </row>
    <row r="57" spans="1:24" ht="31.5">
      <c r="A57" s="838" t="s">
        <v>2469</v>
      </c>
      <c r="B57" s="840" t="s">
        <v>2023</v>
      </c>
      <c r="C57" s="857">
        <v>3253.96</v>
      </c>
      <c r="D57" s="857">
        <v>0</v>
      </c>
      <c r="E57" s="857">
        <v>2962</v>
      </c>
      <c r="F57" s="857">
        <v>291.95999999999998</v>
      </c>
      <c r="G57" s="857">
        <v>3232.7461090000002</v>
      </c>
      <c r="H57" s="857">
        <v>0</v>
      </c>
      <c r="I57" s="857">
        <v>0</v>
      </c>
      <c r="J57" s="857">
        <v>0</v>
      </c>
      <c r="K57" s="857">
        <v>0</v>
      </c>
      <c r="L57" s="857">
        <v>0</v>
      </c>
      <c r="M57" s="857">
        <v>0</v>
      </c>
      <c r="N57" s="857">
        <v>0</v>
      </c>
      <c r="O57" s="857">
        <v>0</v>
      </c>
      <c r="P57" s="857">
        <v>0</v>
      </c>
      <c r="Q57" s="857">
        <v>3113.3031089999999</v>
      </c>
      <c r="R57" s="857">
        <v>0</v>
      </c>
      <c r="S57" s="857">
        <v>0</v>
      </c>
      <c r="T57" s="857">
        <v>3113.3031089999999</v>
      </c>
      <c r="U57" s="857">
        <v>0</v>
      </c>
      <c r="V57" s="857">
        <v>0</v>
      </c>
      <c r="W57" s="857">
        <v>119.443</v>
      </c>
      <c r="X57" s="1010">
        <v>0.99348059257028365</v>
      </c>
    </row>
    <row r="58" spans="1:24">
      <c r="A58" s="838" t="s">
        <v>2469</v>
      </c>
      <c r="B58" s="840" t="s">
        <v>2022</v>
      </c>
      <c r="C58" s="857">
        <v>8941.3936159999994</v>
      </c>
      <c r="D58" s="857">
        <v>233.68461600000001</v>
      </c>
      <c r="E58" s="857">
        <v>8106.6719999999996</v>
      </c>
      <c r="F58" s="857">
        <v>601.03700000000003</v>
      </c>
      <c r="G58" s="857">
        <v>8893.7805869999993</v>
      </c>
      <c r="H58" s="857">
        <v>127.01900000000001</v>
      </c>
      <c r="I58" s="857">
        <v>0</v>
      </c>
      <c r="J58" s="857">
        <v>0</v>
      </c>
      <c r="K58" s="857">
        <v>0</v>
      </c>
      <c r="L58" s="857">
        <v>0</v>
      </c>
      <c r="M58" s="857">
        <v>233.68461600000001</v>
      </c>
      <c r="N58" s="857">
        <v>0</v>
      </c>
      <c r="O58" s="857">
        <v>0</v>
      </c>
      <c r="P58" s="857">
        <v>0</v>
      </c>
      <c r="Q58" s="857">
        <v>0</v>
      </c>
      <c r="R58" s="857">
        <v>0</v>
      </c>
      <c r="S58" s="857">
        <v>0</v>
      </c>
      <c r="T58" s="857">
        <v>0</v>
      </c>
      <c r="U58" s="857">
        <v>8376.7569710000007</v>
      </c>
      <c r="V58" s="857">
        <v>0</v>
      </c>
      <c r="W58" s="857">
        <v>156.32</v>
      </c>
      <c r="X58" s="1010">
        <v>0.99467498792192754</v>
      </c>
    </row>
    <row r="59" spans="1:24">
      <c r="A59" s="838" t="s">
        <v>1978</v>
      </c>
      <c r="B59" s="839" t="s">
        <v>1515</v>
      </c>
      <c r="C59" s="857">
        <v>13512.715</v>
      </c>
      <c r="D59" s="857">
        <v>433</v>
      </c>
      <c r="E59" s="857">
        <v>10099</v>
      </c>
      <c r="F59" s="857">
        <v>2980.7150000000001</v>
      </c>
      <c r="G59" s="857">
        <v>13490.834999999999</v>
      </c>
      <c r="H59" s="857">
        <v>0</v>
      </c>
      <c r="I59" s="857">
        <v>0</v>
      </c>
      <c r="J59" s="857">
        <v>0</v>
      </c>
      <c r="K59" s="857">
        <v>0</v>
      </c>
      <c r="L59" s="857">
        <v>0</v>
      </c>
      <c r="M59" s="857">
        <v>0</v>
      </c>
      <c r="N59" s="857">
        <v>0</v>
      </c>
      <c r="O59" s="857">
        <v>0</v>
      </c>
      <c r="P59" s="857">
        <v>0</v>
      </c>
      <c r="Q59" s="857">
        <v>6310.1260000000002</v>
      </c>
      <c r="R59" s="857">
        <v>0</v>
      </c>
      <c r="S59" s="857">
        <v>0</v>
      </c>
      <c r="T59" s="857">
        <v>6310.1260000000002</v>
      </c>
      <c r="U59" s="857">
        <v>6027</v>
      </c>
      <c r="V59" s="857">
        <v>0</v>
      </c>
      <c r="W59" s="857">
        <v>1153.7090000000001</v>
      </c>
      <c r="X59" s="1010">
        <v>0.99838078432054544</v>
      </c>
    </row>
    <row r="60" spans="1:24">
      <c r="A60" s="838" t="s">
        <v>2469</v>
      </c>
      <c r="B60" s="840" t="s">
        <v>2024</v>
      </c>
      <c r="C60" s="857">
        <v>7654.4</v>
      </c>
      <c r="D60" s="857">
        <v>0</v>
      </c>
      <c r="E60" s="857">
        <v>5794</v>
      </c>
      <c r="F60" s="857">
        <v>1860.4</v>
      </c>
      <c r="G60" s="857">
        <v>7654.4</v>
      </c>
      <c r="H60" s="857">
        <v>0</v>
      </c>
      <c r="I60" s="857">
        <v>0</v>
      </c>
      <c r="J60" s="857">
        <v>0</v>
      </c>
      <c r="K60" s="857">
        <v>0</v>
      </c>
      <c r="L60" s="857">
        <v>0</v>
      </c>
      <c r="M60" s="857">
        <v>0</v>
      </c>
      <c r="N60" s="857">
        <v>0</v>
      </c>
      <c r="O60" s="857">
        <v>0</v>
      </c>
      <c r="P60" s="857">
        <v>0</v>
      </c>
      <c r="Q60" s="857">
        <v>1627.4</v>
      </c>
      <c r="R60" s="857">
        <v>0</v>
      </c>
      <c r="S60" s="857">
        <v>0</v>
      </c>
      <c r="T60" s="857">
        <v>1627.4</v>
      </c>
      <c r="U60" s="857">
        <v>6027</v>
      </c>
      <c r="V60" s="857">
        <v>0</v>
      </c>
      <c r="W60" s="857">
        <v>0</v>
      </c>
      <c r="X60" s="1010">
        <v>1</v>
      </c>
    </row>
    <row r="61" spans="1:24" ht="31.5">
      <c r="A61" s="838" t="s">
        <v>2469</v>
      </c>
      <c r="B61" s="840" t="s">
        <v>2025</v>
      </c>
      <c r="C61" s="857">
        <v>5858.3149999999996</v>
      </c>
      <c r="D61" s="857">
        <v>433</v>
      </c>
      <c r="E61" s="857">
        <v>4305</v>
      </c>
      <c r="F61" s="857">
        <v>1120.3150000000001</v>
      </c>
      <c r="G61" s="857">
        <v>5836.4350000000004</v>
      </c>
      <c r="H61" s="857">
        <v>0</v>
      </c>
      <c r="I61" s="857">
        <v>0</v>
      </c>
      <c r="J61" s="857">
        <v>0</v>
      </c>
      <c r="K61" s="857">
        <v>0</v>
      </c>
      <c r="L61" s="857">
        <v>0</v>
      </c>
      <c r="M61" s="857">
        <v>0</v>
      </c>
      <c r="N61" s="857">
        <v>0</v>
      </c>
      <c r="O61" s="857">
        <v>0</v>
      </c>
      <c r="P61" s="857">
        <v>0</v>
      </c>
      <c r="Q61" s="857">
        <v>4682.7259999999997</v>
      </c>
      <c r="R61" s="857">
        <v>0</v>
      </c>
      <c r="S61" s="857">
        <v>0</v>
      </c>
      <c r="T61" s="857">
        <v>4682.7259999999997</v>
      </c>
      <c r="U61" s="857">
        <v>0</v>
      </c>
      <c r="V61" s="857">
        <v>0</v>
      </c>
      <c r="W61" s="857">
        <v>1153.7090000000001</v>
      </c>
      <c r="X61" s="1010">
        <v>0.99626513767183922</v>
      </c>
    </row>
    <row r="62" spans="1:24">
      <c r="A62" s="838" t="s">
        <v>1979</v>
      </c>
      <c r="B62" s="839" t="s">
        <v>477</v>
      </c>
      <c r="C62" s="857">
        <v>25365.953481</v>
      </c>
      <c r="D62" s="857">
        <v>5098.3614809999999</v>
      </c>
      <c r="E62" s="857">
        <v>16927.521000000001</v>
      </c>
      <c r="F62" s="857">
        <v>3340.0709999999999</v>
      </c>
      <c r="G62" s="857">
        <v>19077.654456</v>
      </c>
      <c r="H62" s="857">
        <v>0</v>
      </c>
      <c r="I62" s="857">
        <v>13850.863300000001</v>
      </c>
      <c r="J62" s="857">
        <v>0</v>
      </c>
      <c r="K62" s="857">
        <v>0</v>
      </c>
      <c r="L62" s="857">
        <v>0</v>
      </c>
      <c r="M62" s="857">
        <v>0</v>
      </c>
      <c r="N62" s="857">
        <v>0</v>
      </c>
      <c r="O62" s="857">
        <v>0</v>
      </c>
      <c r="P62" s="857">
        <v>0</v>
      </c>
      <c r="Q62" s="857">
        <v>0</v>
      </c>
      <c r="R62" s="857">
        <v>0</v>
      </c>
      <c r="S62" s="857">
        <v>0</v>
      </c>
      <c r="T62" s="857">
        <v>0</v>
      </c>
      <c r="U62" s="857">
        <v>5226.7911560000002</v>
      </c>
      <c r="V62" s="857">
        <v>0</v>
      </c>
      <c r="W62" s="857">
        <v>0</v>
      </c>
      <c r="X62" s="1010">
        <v>0.75209687939741121</v>
      </c>
    </row>
    <row r="63" spans="1:24" ht="47.25">
      <c r="A63" s="838" t="s">
        <v>2469</v>
      </c>
      <c r="B63" s="840" t="s">
        <v>2027</v>
      </c>
      <c r="C63" s="857">
        <v>6006.64</v>
      </c>
      <c r="D63" s="857">
        <v>0</v>
      </c>
      <c r="E63" s="857">
        <v>4775.009</v>
      </c>
      <c r="F63" s="857">
        <v>1231.6310000000001</v>
      </c>
      <c r="G63" s="857">
        <v>6006.64</v>
      </c>
      <c r="H63" s="857">
        <v>0</v>
      </c>
      <c r="I63" s="857">
        <v>6006.64</v>
      </c>
      <c r="J63" s="857">
        <v>0</v>
      </c>
      <c r="K63" s="857">
        <v>0</v>
      </c>
      <c r="L63" s="857">
        <v>0</v>
      </c>
      <c r="M63" s="857">
        <v>0</v>
      </c>
      <c r="N63" s="857">
        <v>0</v>
      </c>
      <c r="O63" s="857">
        <v>0</v>
      </c>
      <c r="P63" s="857">
        <v>0</v>
      </c>
      <c r="Q63" s="857">
        <v>0</v>
      </c>
      <c r="R63" s="857">
        <v>0</v>
      </c>
      <c r="S63" s="857">
        <v>0</v>
      </c>
      <c r="T63" s="857">
        <v>0</v>
      </c>
      <c r="U63" s="857">
        <v>0</v>
      </c>
      <c r="V63" s="857">
        <v>0</v>
      </c>
      <c r="W63" s="857">
        <v>0</v>
      </c>
      <c r="X63" s="1010">
        <v>1</v>
      </c>
    </row>
    <row r="64" spans="1:24" ht="31.5">
      <c r="A64" s="838" t="s">
        <v>2469</v>
      </c>
      <c r="B64" s="840" t="s">
        <v>2028</v>
      </c>
      <c r="C64" s="857">
        <v>189.49842200000001</v>
      </c>
      <c r="D64" s="857">
        <v>0</v>
      </c>
      <c r="E64" s="857">
        <v>189.49842200000001</v>
      </c>
      <c r="F64" s="857">
        <v>0</v>
      </c>
      <c r="G64" s="857">
        <v>189.49842200000001</v>
      </c>
      <c r="H64" s="857">
        <v>0</v>
      </c>
      <c r="I64" s="857">
        <v>0</v>
      </c>
      <c r="J64" s="857">
        <v>0</v>
      </c>
      <c r="K64" s="857">
        <v>0</v>
      </c>
      <c r="L64" s="857">
        <v>0</v>
      </c>
      <c r="M64" s="857">
        <v>0</v>
      </c>
      <c r="N64" s="857">
        <v>0</v>
      </c>
      <c r="O64" s="857">
        <v>0</v>
      </c>
      <c r="P64" s="857">
        <v>0</v>
      </c>
      <c r="Q64" s="857">
        <v>0</v>
      </c>
      <c r="R64" s="857">
        <v>0</v>
      </c>
      <c r="S64" s="857">
        <v>0</v>
      </c>
      <c r="T64" s="857">
        <v>0</v>
      </c>
      <c r="U64" s="857">
        <v>189.49842200000001</v>
      </c>
      <c r="V64" s="857">
        <v>0</v>
      </c>
      <c r="W64" s="857">
        <v>0</v>
      </c>
      <c r="X64" s="1010">
        <v>1</v>
      </c>
    </row>
    <row r="65" spans="1:24" ht="31.5">
      <c r="A65" s="838" t="s">
        <v>2469</v>
      </c>
      <c r="B65" s="840" t="s">
        <v>2026</v>
      </c>
      <c r="C65" s="857">
        <v>17217.401059</v>
      </c>
      <c r="D65" s="857">
        <v>5098.3614809999999</v>
      </c>
      <c r="E65" s="857">
        <v>10424.667578000001</v>
      </c>
      <c r="F65" s="857">
        <v>1694.3720000000001</v>
      </c>
      <c r="G65" s="857">
        <v>10948.004034</v>
      </c>
      <c r="H65" s="857">
        <v>0</v>
      </c>
      <c r="I65" s="857">
        <v>5910.7112999999999</v>
      </c>
      <c r="J65" s="857">
        <v>0</v>
      </c>
      <c r="K65" s="857">
        <v>0</v>
      </c>
      <c r="L65" s="857">
        <v>0</v>
      </c>
      <c r="M65" s="857">
        <v>0</v>
      </c>
      <c r="N65" s="857">
        <v>0</v>
      </c>
      <c r="O65" s="857">
        <v>0</v>
      </c>
      <c r="P65" s="857">
        <v>0</v>
      </c>
      <c r="Q65" s="857">
        <v>0</v>
      </c>
      <c r="R65" s="857">
        <v>0</v>
      </c>
      <c r="S65" s="857">
        <v>0</v>
      </c>
      <c r="T65" s="857">
        <v>0</v>
      </c>
      <c r="U65" s="857">
        <v>5037.2927339999997</v>
      </c>
      <c r="V65" s="857">
        <v>0</v>
      </c>
      <c r="W65" s="857">
        <v>0</v>
      </c>
      <c r="X65" s="1010">
        <v>0.63586856091019517</v>
      </c>
    </row>
    <row r="66" spans="1:24" ht="31.5">
      <c r="A66" s="838" t="s">
        <v>2469</v>
      </c>
      <c r="B66" s="840" t="s">
        <v>2029</v>
      </c>
      <c r="C66" s="857">
        <v>1952.414</v>
      </c>
      <c r="D66" s="857">
        <v>0</v>
      </c>
      <c r="E66" s="857">
        <v>1538.346</v>
      </c>
      <c r="F66" s="857">
        <v>414.06799999999998</v>
      </c>
      <c r="G66" s="857">
        <v>1933.5119999999999</v>
      </c>
      <c r="H66" s="857">
        <v>0</v>
      </c>
      <c r="I66" s="857">
        <v>1933.5119999999999</v>
      </c>
      <c r="J66" s="857">
        <v>0</v>
      </c>
      <c r="K66" s="857">
        <v>0</v>
      </c>
      <c r="L66" s="857">
        <v>0</v>
      </c>
      <c r="M66" s="857">
        <v>0</v>
      </c>
      <c r="N66" s="857">
        <v>0</v>
      </c>
      <c r="O66" s="857">
        <v>0</v>
      </c>
      <c r="P66" s="857">
        <v>0</v>
      </c>
      <c r="Q66" s="857">
        <v>0</v>
      </c>
      <c r="R66" s="857">
        <v>0</v>
      </c>
      <c r="S66" s="857">
        <v>0</v>
      </c>
      <c r="T66" s="857">
        <v>0</v>
      </c>
      <c r="U66" s="857">
        <v>0</v>
      </c>
      <c r="V66" s="857">
        <v>0</v>
      </c>
      <c r="W66" s="857">
        <v>0</v>
      </c>
      <c r="X66" s="1010">
        <v>0.99031865167940814</v>
      </c>
    </row>
    <row r="67" spans="1:24">
      <c r="A67" s="838" t="s">
        <v>1980</v>
      </c>
      <c r="B67" s="839" t="s">
        <v>509</v>
      </c>
      <c r="C67" s="857">
        <v>10134.632</v>
      </c>
      <c r="D67" s="857">
        <v>0</v>
      </c>
      <c r="E67" s="857">
        <v>8459</v>
      </c>
      <c r="F67" s="857">
        <v>1675.6320000000001</v>
      </c>
      <c r="G67" s="857">
        <v>10062.453951</v>
      </c>
      <c r="H67" s="857">
        <v>100</v>
      </c>
      <c r="I67" s="857">
        <v>0</v>
      </c>
      <c r="J67" s="857">
        <v>0</v>
      </c>
      <c r="K67" s="857">
        <v>0</v>
      </c>
      <c r="L67" s="857">
        <v>0</v>
      </c>
      <c r="M67" s="857">
        <v>0</v>
      </c>
      <c r="N67" s="857">
        <v>0</v>
      </c>
      <c r="O67" s="857">
        <v>0</v>
      </c>
      <c r="P67" s="857">
        <v>0</v>
      </c>
      <c r="Q67" s="857">
        <v>285.7</v>
      </c>
      <c r="R67" s="857">
        <v>0</v>
      </c>
      <c r="S67" s="857">
        <v>0</v>
      </c>
      <c r="T67" s="857">
        <v>285.7</v>
      </c>
      <c r="U67" s="857">
        <v>8811.8039509999999</v>
      </c>
      <c r="V67" s="857">
        <v>0</v>
      </c>
      <c r="W67" s="857">
        <v>864.95</v>
      </c>
      <c r="X67" s="1010">
        <v>0.99287807894751379</v>
      </c>
    </row>
    <row r="68" spans="1:24">
      <c r="A68" s="838" t="s">
        <v>2469</v>
      </c>
      <c r="B68" s="840" t="s">
        <v>2030</v>
      </c>
      <c r="C68" s="857">
        <v>10134.632</v>
      </c>
      <c r="D68" s="857">
        <v>0</v>
      </c>
      <c r="E68" s="857">
        <v>8459</v>
      </c>
      <c r="F68" s="857">
        <v>1675.6320000000001</v>
      </c>
      <c r="G68" s="857">
        <v>10062.453951</v>
      </c>
      <c r="H68" s="857">
        <v>100</v>
      </c>
      <c r="I68" s="857">
        <v>0</v>
      </c>
      <c r="J68" s="857">
        <v>0</v>
      </c>
      <c r="K68" s="857">
        <v>0</v>
      </c>
      <c r="L68" s="857">
        <v>0</v>
      </c>
      <c r="M68" s="857">
        <v>0</v>
      </c>
      <c r="N68" s="857">
        <v>0</v>
      </c>
      <c r="O68" s="857">
        <v>0</v>
      </c>
      <c r="P68" s="857">
        <v>0</v>
      </c>
      <c r="Q68" s="857">
        <v>285.7</v>
      </c>
      <c r="R68" s="857">
        <v>0</v>
      </c>
      <c r="S68" s="857">
        <v>0</v>
      </c>
      <c r="T68" s="857">
        <v>285.7</v>
      </c>
      <c r="U68" s="857">
        <v>8811.8039509999999</v>
      </c>
      <c r="V68" s="857">
        <v>0</v>
      </c>
      <c r="W68" s="857">
        <v>864.95</v>
      </c>
      <c r="X68" s="1010">
        <v>0.99287807894751379</v>
      </c>
    </row>
    <row r="69" spans="1:24">
      <c r="A69" s="838" t="s">
        <v>1981</v>
      </c>
      <c r="B69" s="839" t="s">
        <v>545</v>
      </c>
      <c r="C69" s="857">
        <v>6366.4206700000004</v>
      </c>
      <c r="D69" s="857">
        <v>342.43700000000001</v>
      </c>
      <c r="E69" s="857">
        <v>5154</v>
      </c>
      <c r="F69" s="857">
        <v>869.98366999999996</v>
      </c>
      <c r="G69" s="857">
        <v>6348.5318699999998</v>
      </c>
      <c r="H69" s="857">
        <v>34.143000000000001</v>
      </c>
      <c r="I69" s="857">
        <v>0</v>
      </c>
      <c r="J69" s="857">
        <v>0</v>
      </c>
      <c r="K69" s="857">
        <v>0</v>
      </c>
      <c r="L69" s="857">
        <v>0</v>
      </c>
      <c r="M69" s="857">
        <v>340.75299999999999</v>
      </c>
      <c r="N69" s="857">
        <v>0</v>
      </c>
      <c r="O69" s="857">
        <v>0</v>
      </c>
      <c r="P69" s="857">
        <v>0</v>
      </c>
      <c r="Q69" s="857">
        <v>0</v>
      </c>
      <c r="R69" s="857">
        <v>0</v>
      </c>
      <c r="S69" s="857">
        <v>0</v>
      </c>
      <c r="T69" s="857">
        <v>0</v>
      </c>
      <c r="U69" s="857">
        <v>5973.6358700000001</v>
      </c>
      <c r="V69" s="857">
        <v>0</v>
      </c>
      <c r="W69" s="857">
        <v>0</v>
      </c>
      <c r="X69" s="1010">
        <v>0.997190132269409</v>
      </c>
    </row>
    <row r="70" spans="1:24">
      <c r="A70" s="838" t="s">
        <v>2469</v>
      </c>
      <c r="B70" s="840" t="s">
        <v>2031</v>
      </c>
      <c r="C70" s="857">
        <v>6366.4206700000004</v>
      </c>
      <c r="D70" s="857">
        <v>342.43700000000001</v>
      </c>
      <c r="E70" s="857">
        <v>5154</v>
      </c>
      <c r="F70" s="857">
        <v>869.98366999999996</v>
      </c>
      <c r="G70" s="857">
        <v>6348.5318699999998</v>
      </c>
      <c r="H70" s="857">
        <v>34.143000000000001</v>
      </c>
      <c r="I70" s="857">
        <v>0</v>
      </c>
      <c r="J70" s="857">
        <v>0</v>
      </c>
      <c r="K70" s="857">
        <v>0</v>
      </c>
      <c r="L70" s="857">
        <v>0</v>
      </c>
      <c r="M70" s="857">
        <v>340.75299999999999</v>
      </c>
      <c r="N70" s="857">
        <v>0</v>
      </c>
      <c r="O70" s="857">
        <v>0</v>
      </c>
      <c r="P70" s="857">
        <v>0</v>
      </c>
      <c r="Q70" s="857">
        <v>0</v>
      </c>
      <c r="R70" s="857">
        <v>0</v>
      </c>
      <c r="S70" s="857">
        <v>0</v>
      </c>
      <c r="T70" s="857">
        <v>0</v>
      </c>
      <c r="U70" s="857">
        <v>5973.6358700000001</v>
      </c>
      <c r="V70" s="857">
        <v>0</v>
      </c>
      <c r="W70" s="857">
        <v>0</v>
      </c>
      <c r="X70" s="1010">
        <v>0.997190132269409</v>
      </c>
    </row>
    <row r="71" spans="1:24">
      <c r="A71" s="838" t="s">
        <v>1982</v>
      </c>
      <c r="B71" s="839" t="s">
        <v>2247</v>
      </c>
      <c r="C71" s="857">
        <v>109998.027</v>
      </c>
      <c r="D71" s="857">
        <v>23.167000000000002</v>
      </c>
      <c r="E71" s="857">
        <v>106054</v>
      </c>
      <c r="F71" s="857">
        <v>3920.86</v>
      </c>
      <c r="G71" s="857">
        <v>109696.0877</v>
      </c>
      <c r="H71" s="857">
        <v>0</v>
      </c>
      <c r="I71" s="857">
        <v>0</v>
      </c>
      <c r="J71" s="857">
        <v>0</v>
      </c>
      <c r="K71" s="857">
        <v>0</v>
      </c>
      <c r="L71" s="857">
        <v>0</v>
      </c>
      <c r="M71" s="857">
        <v>0</v>
      </c>
      <c r="N71" s="857">
        <v>0</v>
      </c>
      <c r="O71" s="857">
        <v>0</v>
      </c>
      <c r="P71" s="857">
        <v>0</v>
      </c>
      <c r="Q71" s="857">
        <v>97088.585000000006</v>
      </c>
      <c r="R71" s="857">
        <v>97088.585000000006</v>
      </c>
      <c r="S71" s="857">
        <v>0</v>
      </c>
      <c r="T71" s="857">
        <v>0</v>
      </c>
      <c r="U71" s="857">
        <v>11828.3357</v>
      </c>
      <c r="V71" s="857">
        <v>0</v>
      </c>
      <c r="W71" s="857">
        <v>779.16700000000003</v>
      </c>
      <c r="X71" s="1010">
        <v>0.9972550480382707</v>
      </c>
    </row>
    <row r="72" spans="1:24" ht="31.5">
      <c r="A72" s="838" t="s">
        <v>2469</v>
      </c>
      <c r="B72" s="840" t="s">
        <v>2034</v>
      </c>
      <c r="C72" s="857">
        <v>2681.36</v>
      </c>
      <c r="D72" s="857">
        <v>0</v>
      </c>
      <c r="E72" s="857">
        <v>1880</v>
      </c>
      <c r="F72" s="857">
        <v>801.36</v>
      </c>
      <c r="G72" s="857">
        <v>2681.36</v>
      </c>
      <c r="H72" s="857">
        <v>0</v>
      </c>
      <c r="I72" s="857">
        <v>0</v>
      </c>
      <c r="J72" s="857">
        <v>0</v>
      </c>
      <c r="K72" s="857">
        <v>0</v>
      </c>
      <c r="L72" s="857">
        <v>0</v>
      </c>
      <c r="M72" s="857">
        <v>0</v>
      </c>
      <c r="N72" s="857">
        <v>0</v>
      </c>
      <c r="O72" s="857">
        <v>0</v>
      </c>
      <c r="P72" s="857">
        <v>0</v>
      </c>
      <c r="Q72" s="857">
        <v>0</v>
      </c>
      <c r="R72" s="857">
        <v>0</v>
      </c>
      <c r="S72" s="857">
        <v>0</v>
      </c>
      <c r="T72" s="857">
        <v>0</v>
      </c>
      <c r="U72" s="857">
        <v>1925.36</v>
      </c>
      <c r="V72" s="857">
        <v>0</v>
      </c>
      <c r="W72" s="857">
        <v>756</v>
      </c>
      <c r="X72" s="1010">
        <v>1</v>
      </c>
    </row>
    <row r="73" spans="1:24" ht="31.5">
      <c r="A73" s="838" t="s">
        <v>2469</v>
      </c>
      <c r="B73" s="840" t="s">
        <v>2032</v>
      </c>
      <c r="C73" s="857">
        <v>8765.1669999999995</v>
      </c>
      <c r="D73" s="857">
        <v>23.167000000000002</v>
      </c>
      <c r="E73" s="857">
        <v>6026</v>
      </c>
      <c r="F73" s="857">
        <v>2716</v>
      </c>
      <c r="G73" s="857">
        <v>8613.3358000000007</v>
      </c>
      <c r="H73" s="857">
        <v>0</v>
      </c>
      <c r="I73" s="857">
        <v>0</v>
      </c>
      <c r="J73" s="857">
        <v>0</v>
      </c>
      <c r="K73" s="857">
        <v>0</v>
      </c>
      <c r="L73" s="857">
        <v>0</v>
      </c>
      <c r="M73" s="857">
        <v>0</v>
      </c>
      <c r="N73" s="857">
        <v>0</v>
      </c>
      <c r="O73" s="857">
        <v>0</v>
      </c>
      <c r="P73" s="857">
        <v>0</v>
      </c>
      <c r="Q73" s="857">
        <v>0</v>
      </c>
      <c r="R73" s="857">
        <v>0</v>
      </c>
      <c r="S73" s="857">
        <v>0</v>
      </c>
      <c r="T73" s="857">
        <v>0</v>
      </c>
      <c r="U73" s="857">
        <v>8590.1687999999995</v>
      </c>
      <c r="V73" s="857">
        <v>0</v>
      </c>
      <c r="W73" s="857">
        <v>23.167000000000002</v>
      </c>
      <c r="X73" s="1010">
        <v>0.98267788851028182</v>
      </c>
    </row>
    <row r="74" spans="1:24" ht="31.5">
      <c r="A74" s="838" t="s">
        <v>2469</v>
      </c>
      <c r="B74" s="840" t="s">
        <v>2035</v>
      </c>
      <c r="C74" s="857">
        <v>1348</v>
      </c>
      <c r="D74" s="857">
        <v>0</v>
      </c>
      <c r="E74" s="857">
        <v>1310</v>
      </c>
      <c r="F74" s="857">
        <v>38</v>
      </c>
      <c r="G74" s="857">
        <v>1312.8069</v>
      </c>
      <c r="H74" s="857">
        <v>0</v>
      </c>
      <c r="I74" s="857">
        <v>0</v>
      </c>
      <c r="J74" s="857">
        <v>0</v>
      </c>
      <c r="K74" s="857">
        <v>0</v>
      </c>
      <c r="L74" s="857">
        <v>0</v>
      </c>
      <c r="M74" s="857">
        <v>0</v>
      </c>
      <c r="N74" s="857">
        <v>0</v>
      </c>
      <c r="O74" s="857">
        <v>0</v>
      </c>
      <c r="P74" s="857">
        <v>0</v>
      </c>
      <c r="Q74" s="857">
        <v>0</v>
      </c>
      <c r="R74" s="857">
        <v>0</v>
      </c>
      <c r="S74" s="857">
        <v>0</v>
      </c>
      <c r="T74" s="857">
        <v>0</v>
      </c>
      <c r="U74" s="857">
        <v>1312.8069</v>
      </c>
      <c r="V74" s="857">
        <v>0</v>
      </c>
      <c r="W74" s="857">
        <v>0</v>
      </c>
      <c r="X74" s="1010">
        <v>0.97389235905044513</v>
      </c>
    </row>
    <row r="75" spans="1:24">
      <c r="A75" s="838" t="s">
        <v>2469</v>
      </c>
      <c r="B75" s="840" t="s">
        <v>2036</v>
      </c>
      <c r="C75" s="857">
        <v>95626.5</v>
      </c>
      <c r="D75" s="857">
        <v>0</v>
      </c>
      <c r="E75" s="857">
        <v>95315</v>
      </c>
      <c r="F75" s="857">
        <v>311.5</v>
      </c>
      <c r="G75" s="857">
        <v>95511.585000000006</v>
      </c>
      <c r="H75" s="857">
        <v>0</v>
      </c>
      <c r="I75" s="857">
        <v>0</v>
      </c>
      <c r="J75" s="857">
        <v>0</v>
      </c>
      <c r="K75" s="857">
        <v>0</v>
      </c>
      <c r="L75" s="857">
        <v>0</v>
      </c>
      <c r="M75" s="857">
        <v>0</v>
      </c>
      <c r="N75" s="857">
        <v>0</v>
      </c>
      <c r="O75" s="857">
        <v>0</v>
      </c>
      <c r="P75" s="857">
        <v>0</v>
      </c>
      <c r="Q75" s="857">
        <v>95511.585000000006</v>
      </c>
      <c r="R75" s="857">
        <v>95511.585000000006</v>
      </c>
      <c r="S75" s="857">
        <v>0</v>
      </c>
      <c r="T75" s="857">
        <v>0</v>
      </c>
      <c r="U75" s="857">
        <v>0</v>
      </c>
      <c r="V75" s="857">
        <v>0</v>
      </c>
      <c r="W75" s="857">
        <v>0</v>
      </c>
      <c r="X75" s="1010">
        <v>0.99879829336010417</v>
      </c>
    </row>
    <row r="76" spans="1:24" ht="31.5">
      <c r="A76" s="838" t="s">
        <v>2469</v>
      </c>
      <c r="B76" s="840" t="s">
        <v>2037</v>
      </c>
      <c r="C76" s="857">
        <v>1577</v>
      </c>
      <c r="D76" s="857">
        <v>0</v>
      </c>
      <c r="E76" s="857">
        <v>1523</v>
      </c>
      <c r="F76" s="857">
        <v>54</v>
      </c>
      <c r="G76" s="857">
        <v>1577</v>
      </c>
      <c r="H76" s="857">
        <v>0</v>
      </c>
      <c r="I76" s="857">
        <v>0</v>
      </c>
      <c r="J76" s="857">
        <v>0</v>
      </c>
      <c r="K76" s="857">
        <v>0</v>
      </c>
      <c r="L76" s="857">
        <v>0</v>
      </c>
      <c r="M76" s="857">
        <v>0</v>
      </c>
      <c r="N76" s="857">
        <v>0</v>
      </c>
      <c r="O76" s="857">
        <v>0</v>
      </c>
      <c r="P76" s="857">
        <v>0</v>
      </c>
      <c r="Q76" s="857">
        <v>1577</v>
      </c>
      <c r="R76" s="857">
        <v>1577</v>
      </c>
      <c r="S76" s="857">
        <v>0</v>
      </c>
      <c r="T76" s="857">
        <v>0</v>
      </c>
      <c r="U76" s="857">
        <v>0</v>
      </c>
      <c r="V76" s="857">
        <v>0</v>
      </c>
      <c r="W76" s="857">
        <v>0</v>
      </c>
      <c r="X76" s="1010">
        <v>1</v>
      </c>
    </row>
    <row r="77" spans="1:24">
      <c r="A77" s="838" t="s">
        <v>1983</v>
      </c>
      <c r="B77" s="840" t="s">
        <v>373</v>
      </c>
      <c r="C77" s="857">
        <v>383364.85647399997</v>
      </c>
      <c r="D77" s="857">
        <v>2540.6930000000002</v>
      </c>
      <c r="E77" s="857">
        <v>359443.63180099998</v>
      </c>
      <c r="F77" s="857">
        <v>21380.531673000001</v>
      </c>
      <c r="G77" s="857">
        <v>381388.61766400002</v>
      </c>
      <c r="H77" s="857">
        <v>370616.55166400003</v>
      </c>
      <c r="I77" s="857">
        <v>0</v>
      </c>
      <c r="J77" s="857">
        <v>0</v>
      </c>
      <c r="K77" s="857">
        <v>0</v>
      </c>
      <c r="L77" s="857">
        <v>0</v>
      </c>
      <c r="M77" s="857">
        <v>0</v>
      </c>
      <c r="N77" s="857">
        <v>0</v>
      </c>
      <c r="O77" s="857">
        <v>0</v>
      </c>
      <c r="P77" s="857">
        <v>0</v>
      </c>
      <c r="Q77" s="857">
        <v>210</v>
      </c>
      <c r="R77" s="857">
        <v>0</v>
      </c>
      <c r="S77" s="857">
        <v>0</v>
      </c>
      <c r="T77" s="857">
        <v>210</v>
      </c>
      <c r="U77" s="857">
        <v>7740.3280000000004</v>
      </c>
      <c r="V77" s="857">
        <v>0</v>
      </c>
      <c r="W77" s="857">
        <v>2821.7379999999998</v>
      </c>
      <c r="X77" s="1010">
        <v>0.99484501832490224</v>
      </c>
    </row>
    <row r="78" spans="1:24">
      <c r="A78" s="838" t="s">
        <v>2469</v>
      </c>
      <c r="B78" s="839" t="s">
        <v>2039</v>
      </c>
      <c r="C78" s="857">
        <v>7917.6907300000003</v>
      </c>
      <c r="D78" s="857">
        <v>0</v>
      </c>
      <c r="E78" s="857">
        <v>7275.3507300000001</v>
      </c>
      <c r="F78" s="857">
        <v>642.34</v>
      </c>
      <c r="G78" s="857">
        <v>7687.9825950000004</v>
      </c>
      <c r="H78" s="857">
        <v>7687.9825950000004</v>
      </c>
      <c r="I78" s="857">
        <v>0</v>
      </c>
      <c r="J78" s="857">
        <v>0</v>
      </c>
      <c r="K78" s="857">
        <v>0</v>
      </c>
      <c r="L78" s="857">
        <v>0</v>
      </c>
      <c r="M78" s="857">
        <v>0</v>
      </c>
      <c r="N78" s="857">
        <v>0</v>
      </c>
      <c r="O78" s="857">
        <v>0</v>
      </c>
      <c r="P78" s="857">
        <v>0</v>
      </c>
      <c r="Q78" s="857">
        <v>0</v>
      </c>
      <c r="R78" s="857">
        <v>0</v>
      </c>
      <c r="S78" s="857">
        <v>0</v>
      </c>
      <c r="T78" s="857">
        <v>0</v>
      </c>
      <c r="U78" s="857">
        <v>0</v>
      </c>
      <c r="V78" s="857">
        <v>0</v>
      </c>
      <c r="W78" s="857">
        <v>0</v>
      </c>
      <c r="X78" s="1010">
        <v>0.97098798843839162</v>
      </c>
    </row>
    <row r="79" spans="1:24">
      <c r="A79" s="838" t="s">
        <v>2469</v>
      </c>
      <c r="B79" s="840" t="s">
        <v>2040</v>
      </c>
      <c r="C79" s="857">
        <v>12638.781000000001</v>
      </c>
      <c r="D79" s="857">
        <v>0</v>
      </c>
      <c r="E79" s="857">
        <v>11978.69</v>
      </c>
      <c r="F79" s="857">
        <v>660.09100000000001</v>
      </c>
      <c r="G79" s="857">
        <v>12636.981</v>
      </c>
      <c r="H79" s="857">
        <v>12636.981</v>
      </c>
      <c r="I79" s="857">
        <v>0</v>
      </c>
      <c r="J79" s="857">
        <v>0</v>
      </c>
      <c r="K79" s="857">
        <v>0</v>
      </c>
      <c r="L79" s="857">
        <v>0</v>
      </c>
      <c r="M79" s="857">
        <v>0</v>
      </c>
      <c r="N79" s="857">
        <v>0</v>
      </c>
      <c r="O79" s="857">
        <v>0</v>
      </c>
      <c r="P79" s="857">
        <v>0</v>
      </c>
      <c r="Q79" s="857">
        <v>0</v>
      </c>
      <c r="R79" s="857">
        <v>0</v>
      </c>
      <c r="S79" s="857">
        <v>0</v>
      </c>
      <c r="T79" s="857">
        <v>0</v>
      </c>
      <c r="U79" s="857">
        <v>0</v>
      </c>
      <c r="V79" s="857">
        <v>0</v>
      </c>
      <c r="W79" s="857">
        <v>0</v>
      </c>
      <c r="X79" s="1010">
        <v>0.99985758120185786</v>
      </c>
    </row>
    <row r="80" spans="1:24">
      <c r="A80" s="838" t="s">
        <v>2469</v>
      </c>
      <c r="B80" s="840" t="s">
        <v>2041</v>
      </c>
      <c r="C80" s="857">
        <v>5193.665</v>
      </c>
      <c r="D80" s="857">
        <v>0</v>
      </c>
      <c r="E80" s="857">
        <v>4847.0450000000001</v>
      </c>
      <c r="F80" s="857">
        <v>346.62</v>
      </c>
      <c r="G80" s="857">
        <v>5190.2870000000003</v>
      </c>
      <c r="H80" s="857">
        <v>5190.2870000000003</v>
      </c>
      <c r="I80" s="857">
        <v>0</v>
      </c>
      <c r="J80" s="857">
        <v>0</v>
      </c>
      <c r="K80" s="857">
        <v>0</v>
      </c>
      <c r="L80" s="857">
        <v>0</v>
      </c>
      <c r="M80" s="857">
        <v>0</v>
      </c>
      <c r="N80" s="857">
        <v>0</v>
      </c>
      <c r="O80" s="857">
        <v>0</v>
      </c>
      <c r="P80" s="857">
        <v>0</v>
      </c>
      <c r="Q80" s="857">
        <v>0</v>
      </c>
      <c r="R80" s="857">
        <v>0</v>
      </c>
      <c r="S80" s="857">
        <v>0</v>
      </c>
      <c r="T80" s="857">
        <v>0</v>
      </c>
      <c r="U80" s="857">
        <v>0</v>
      </c>
      <c r="V80" s="857">
        <v>0</v>
      </c>
      <c r="W80" s="857">
        <v>0</v>
      </c>
      <c r="X80" s="1010">
        <v>0.99934959224362763</v>
      </c>
    </row>
    <row r="81" spans="1:24" ht="31.5">
      <c r="A81" s="838" t="s">
        <v>2469</v>
      </c>
      <c r="B81" s="840" t="s">
        <v>2042</v>
      </c>
      <c r="C81" s="857">
        <v>16472.882000000001</v>
      </c>
      <c r="D81" s="857">
        <v>7.95</v>
      </c>
      <c r="E81" s="857">
        <v>14950.224</v>
      </c>
      <c r="F81" s="857">
        <v>1514.7080000000001</v>
      </c>
      <c r="G81" s="857">
        <v>16394.98</v>
      </c>
      <c r="H81" s="857">
        <v>16394.98</v>
      </c>
      <c r="I81" s="857">
        <v>0</v>
      </c>
      <c r="J81" s="857">
        <v>0</v>
      </c>
      <c r="K81" s="857">
        <v>0</v>
      </c>
      <c r="L81" s="857">
        <v>0</v>
      </c>
      <c r="M81" s="857">
        <v>0</v>
      </c>
      <c r="N81" s="857">
        <v>0</v>
      </c>
      <c r="O81" s="857">
        <v>0</v>
      </c>
      <c r="P81" s="857">
        <v>0</v>
      </c>
      <c r="Q81" s="857">
        <v>0</v>
      </c>
      <c r="R81" s="857">
        <v>0</v>
      </c>
      <c r="S81" s="857">
        <v>0</v>
      </c>
      <c r="T81" s="857">
        <v>0</v>
      </c>
      <c r="U81" s="857">
        <v>0</v>
      </c>
      <c r="V81" s="857">
        <v>0</v>
      </c>
      <c r="W81" s="857">
        <v>0</v>
      </c>
      <c r="X81" s="1010">
        <v>0.99527089430981164</v>
      </c>
    </row>
    <row r="82" spans="1:24">
      <c r="A82" s="838" t="s">
        <v>2469</v>
      </c>
      <c r="B82" s="840" t="s">
        <v>2043</v>
      </c>
      <c r="C82" s="857">
        <v>13940.225</v>
      </c>
      <c r="D82" s="857">
        <v>0</v>
      </c>
      <c r="E82" s="857">
        <v>13519.905000000001</v>
      </c>
      <c r="F82" s="857">
        <v>420.32</v>
      </c>
      <c r="G82" s="857">
        <v>13912.566000000001</v>
      </c>
      <c r="H82" s="857">
        <v>13413.101000000001</v>
      </c>
      <c r="I82" s="857">
        <v>0</v>
      </c>
      <c r="J82" s="857">
        <v>0</v>
      </c>
      <c r="K82" s="857">
        <v>0</v>
      </c>
      <c r="L82" s="857">
        <v>0</v>
      </c>
      <c r="M82" s="857">
        <v>0</v>
      </c>
      <c r="N82" s="857">
        <v>0</v>
      </c>
      <c r="O82" s="857">
        <v>0</v>
      </c>
      <c r="P82" s="857">
        <v>0</v>
      </c>
      <c r="Q82" s="857">
        <v>0</v>
      </c>
      <c r="R82" s="857">
        <v>0</v>
      </c>
      <c r="S82" s="857">
        <v>0</v>
      </c>
      <c r="T82" s="857">
        <v>0</v>
      </c>
      <c r="U82" s="857">
        <v>0</v>
      </c>
      <c r="V82" s="857">
        <v>0</v>
      </c>
      <c r="W82" s="857">
        <v>499.46499999999997</v>
      </c>
      <c r="X82" s="1010">
        <v>0.99801588568333732</v>
      </c>
    </row>
    <row r="83" spans="1:24" ht="31.5">
      <c r="A83" s="838" t="s">
        <v>2469</v>
      </c>
      <c r="B83" s="840" t="s">
        <v>2248</v>
      </c>
      <c r="C83" s="857">
        <v>13665.88701</v>
      </c>
      <c r="D83" s="857">
        <v>0</v>
      </c>
      <c r="E83" s="857">
        <v>12650.195009999999</v>
      </c>
      <c r="F83" s="857">
        <v>1015.692</v>
      </c>
      <c r="G83" s="857">
        <v>13644.089196000001</v>
      </c>
      <c r="H83" s="857">
        <v>13644.089196000001</v>
      </c>
      <c r="I83" s="857">
        <v>0</v>
      </c>
      <c r="J83" s="857">
        <v>0</v>
      </c>
      <c r="K83" s="857">
        <v>0</v>
      </c>
      <c r="L83" s="857">
        <v>0</v>
      </c>
      <c r="M83" s="857">
        <v>0</v>
      </c>
      <c r="N83" s="857">
        <v>0</v>
      </c>
      <c r="O83" s="857">
        <v>0</v>
      </c>
      <c r="P83" s="857">
        <v>0</v>
      </c>
      <c r="Q83" s="857">
        <v>0</v>
      </c>
      <c r="R83" s="857">
        <v>0</v>
      </c>
      <c r="S83" s="857">
        <v>0</v>
      </c>
      <c r="T83" s="857">
        <v>0</v>
      </c>
      <c r="U83" s="857">
        <v>0</v>
      </c>
      <c r="V83" s="857">
        <v>0</v>
      </c>
      <c r="W83" s="857">
        <v>0</v>
      </c>
      <c r="X83" s="1010">
        <v>0.99840494700533899</v>
      </c>
    </row>
    <row r="84" spans="1:24">
      <c r="A84" s="838" t="s">
        <v>2469</v>
      </c>
      <c r="B84" s="840" t="s">
        <v>2044</v>
      </c>
      <c r="C84" s="857">
        <v>11629.276948999999</v>
      </c>
      <c r="D84" s="857">
        <v>0</v>
      </c>
      <c r="E84" s="857">
        <v>10856.436949000001</v>
      </c>
      <c r="F84" s="857">
        <v>772.84</v>
      </c>
      <c r="G84" s="857">
        <v>11505.347497000001</v>
      </c>
      <c r="H84" s="857">
        <v>11505.347497000001</v>
      </c>
      <c r="I84" s="857">
        <v>0</v>
      </c>
      <c r="J84" s="857">
        <v>0</v>
      </c>
      <c r="K84" s="857">
        <v>0</v>
      </c>
      <c r="L84" s="857">
        <v>0</v>
      </c>
      <c r="M84" s="857">
        <v>0</v>
      </c>
      <c r="N84" s="857">
        <v>0</v>
      </c>
      <c r="O84" s="857">
        <v>0</v>
      </c>
      <c r="P84" s="857">
        <v>0</v>
      </c>
      <c r="Q84" s="857">
        <v>0</v>
      </c>
      <c r="R84" s="857">
        <v>0</v>
      </c>
      <c r="S84" s="857">
        <v>0</v>
      </c>
      <c r="T84" s="857">
        <v>0</v>
      </c>
      <c r="U84" s="857">
        <v>0</v>
      </c>
      <c r="V84" s="857">
        <v>0</v>
      </c>
      <c r="W84" s="857">
        <v>0</v>
      </c>
      <c r="X84" s="1010">
        <v>0.98934332267229608</v>
      </c>
    </row>
    <row r="85" spans="1:24">
      <c r="A85" s="838" t="s">
        <v>2469</v>
      </c>
      <c r="B85" s="840" t="s">
        <v>2045</v>
      </c>
      <c r="C85" s="857">
        <v>11042.653435</v>
      </c>
      <c r="D85" s="857">
        <v>0</v>
      </c>
      <c r="E85" s="857">
        <v>10479.103435000001</v>
      </c>
      <c r="F85" s="857">
        <v>563.54999999999995</v>
      </c>
      <c r="G85" s="857">
        <v>11042.653435</v>
      </c>
      <c r="H85" s="857">
        <v>11042.653435</v>
      </c>
      <c r="I85" s="857">
        <v>0</v>
      </c>
      <c r="J85" s="857">
        <v>0</v>
      </c>
      <c r="K85" s="857">
        <v>0</v>
      </c>
      <c r="L85" s="857">
        <v>0</v>
      </c>
      <c r="M85" s="857">
        <v>0</v>
      </c>
      <c r="N85" s="857">
        <v>0</v>
      </c>
      <c r="O85" s="857">
        <v>0</v>
      </c>
      <c r="P85" s="857">
        <v>0</v>
      </c>
      <c r="Q85" s="857">
        <v>0</v>
      </c>
      <c r="R85" s="857">
        <v>0</v>
      </c>
      <c r="S85" s="857">
        <v>0</v>
      </c>
      <c r="T85" s="857">
        <v>0</v>
      </c>
      <c r="U85" s="857">
        <v>0</v>
      </c>
      <c r="V85" s="857">
        <v>0</v>
      </c>
      <c r="W85" s="857">
        <v>0</v>
      </c>
      <c r="X85" s="1010">
        <v>1</v>
      </c>
    </row>
    <row r="86" spans="1:24">
      <c r="A86" s="838" t="s">
        <v>2469</v>
      </c>
      <c r="B86" s="840" t="s">
        <v>2046</v>
      </c>
      <c r="C86" s="857">
        <v>8677.8663969999998</v>
      </c>
      <c r="D86" s="857">
        <v>0</v>
      </c>
      <c r="E86" s="857">
        <v>8324.4663970000001</v>
      </c>
      <c r="F86" s="857">
        <v>353.4</v>
      </c>
      <c r="G86" s="857">
        <v>8664.7670940000007</v>
      </c>
      <c r="H86" s="857">
        <v>8664.7670940000007</v>
      </c>
      <c r="I86" s="857">
        <v>0</v>
      </c>
      <c r="J86" s="857">
        <v>0</v>
      </c>
      <c r="K86" s="857">
        <v>0</v>
      </c>
      <c r="L86" s="857">
        <v>0</v>
      </c>
      <c r="M86" s="857">
        <v>0</v>
      </c>
      <c r="N86" s="857">
        <v>0</v>
      </c>
      <c r="O86" s="857">
        <v>0</v>
      </c>
      <c r="P86" s="857">
        <v>0</v>
      </c>
      <c r="Q86" s="857">
        <v>0</v>
      </c>
      <c r="R86" s="857">
        <v>0</v>
      </c>
      <c r="S86" s="857">
        <v>0</v>
      </c>
      <c r="T86" s="857">
        <v>0</v>
      </c>
      <c r="U86" s="857">
        <v>0</v>
      </c>
      <c r="V86" s="857">
        <v>0</v>
      </c>
      <c r="W86" s="857">
        <v>0</v>
      </c>
      <c r="X86" s="1010">
        <v>0.99849049266251355</v>
      </c>
    </row>
    <row r="87" spans="1:24">
      <c r="A87" s="838" t="s">
        <v>2469</v>
      </c>
      <c r="B87" s="840" t="s">
        <v>2047</v>
      </c>
      <c r="C87" s="857">
        <v>12070.391</v>
      </c>
      <c r="D87" s="857">
        <v>0</v>
      </c>
      <c r="E87" s="857">
        <v>11619.716</v>
      </c>
      <c r="F87" s="857">
        <v>450.67500000000001</v>
      </c>
      <c r="G87" s="857">
        <v>12070.091</v>
      </c>
      <c r="H87" s="857">
        <v>12070.091</v>
      </c>
      <c r="I87" s="857">
        <v>0</v>
      </c>
      <c r="J87" s="857">
        <v>0</v>
      </c>
      <c r="K87" s="857">
        <v>0</v>
      </c>
      <c r="L87" s="857">
        <v>0</v>
      </c>
      <c r="M87" s="857">
        <v>0</v>
      </c>
      <c r="N87" s="857">
        <v>0</v>
      </c>
      <c r="O87" s="857">
        <v>0</v>
      </c>
      <c r="P87" s="857">
        <v>0</v>
      </c>
      <c r="Q87" s="857">
        <v>0</v>
      </c>
      <c r="R87" s="857">
        <v>0</v>
      </c>
      <c r="S87" s="857">
        <v>0</v>
      </c>
      <c r="T87" s="857">
        <v>0</v>
      </c>
      <c r="U87" s="857">
        <v>0</v>
      </c>
      <c r="V87" s="857">
        <v>0</v>
      </c>
      <c r="W87" s="857">
        <v>0</v>
      </c>
      <c r="X87" s="1010">
        <v>0.99997514579270885</v>
      </c>
    </row>
    <row r="88" spans="1:24" ht="31.5">
      <c r="A88" s="838" t="s">
        <v>2469</v>
      </c>
      <c r="B88" s="840" t="s">
        <v>2048</v>
      </c>
      <c r="C88" s="857">
        <v>24324.846000000001</v>
      </c>
      <c r="D88" s="857">
        <v>0.6</v>
      </c>
      <c r="E88" s="857">
        <v>23108.34</v>
      </c>
      <c r="F88" s="857">
        <v>1215.9059999999999</v>
      </c>
      <c r="G88" s="857">
        <v>24210.962500000001</v>
      </c>
      <c r="H88" s="857">
        <v>24210.962500000001</v>
      </c>
      <c r="I88" s="857">
        <v>0</v>
      </c>
      <c r="J88" s="857">
        <v>0</v>
      </c>
      <c r="K88" s="857">
        <v>0</v>
      </c>
      <c r="L88" s="857">
        <v>0</v>
      </c>
      <c r="M88" s="857">
        <v>0</v>
      </c>
      <c r="N88" s="857">
        <v>0</v>
      </c>
      <c r="O88" s="857">
        <v>0</v>
      </c>
      <c r="P88" s="857">
        <v>0</v>
      </c>
      <c r="Q88" s="857">
        <v>0</v>
      </c>
      <c r="R88" s="857">
        <v>0</v>
      </c>
      <c r="S88" s="857">
        <v>0</v>
      </c>
      <c r="T88" s="857">
        <v>0</v>
      </c>
      <c r="U88" s="857">
        <v>0</v>
      </c>
      <c r="V88" s="857">
        <v>0</v>
      </c>
      <c r="W88" s="857">
        <v>0</v>
      </c>
      <c r="X88" s="1010">
        <v>0.99531822318628449</v>
      </c>
    </row>
    <row r="89" spans="1:24" ht="31.5">
      <c r="A89" s="838" t="s">
        <v>2469</v>
      </c>
      <c r="B89" s="840" t="s">
        <v>2249</v>
      </c>
      <c r="C89" s="857">
        <v>9023.0366950000007</v>
      </c>
      <c r="D89" s="857">
        <v>0</v>
      </c>
      <c r="E89" s="857">
        <v>8401.9186950000003</v>
      </c>
      <c r="F89" s="857">
        <v>621.11800000000005</v>
      </c>
      <c r="G89" s="857">
        <v>9023.0366950000007</v>
      </c>
      <c r="H89" s="857">
        <v>9023.0366950000007</v>
      </c>
      <c r="I89" s="857">
        <v>0</v>
      </c>
      <c r="J89" s="857">
        <v>0</v>
      </c>
      <c r="K89" s="857">
        <v>0</v>
      </c>
      <c r="L89" s="857">
        <v>0</v>
      </c>
      <c r="M89" s="857">
        <v>0</v>
      </c>
      <c r="N89" s="857">
        <v>0</v>
      </c>
      <c r="O89" s="857">
        <v>0</v>
      </c>
      <c r="P89" s="857">
        <v>0</v>
      </c>
      <c r="Q89" s="857">
        <v>0</v>
      </c>
      <c r="R89" s="857">
        <v>0</v>
      </c>
      <c r="S89" s="857">
        <v>0</v>
      </c>
      <c r="T89" s="857">
        <v>0</v>
      </c>
      <c r="U89" s="857">
        <v>0</v>
      </c>
      <c r="V89" s="857">
        <v>0</v>
      </c>
      <c r="W89" s="857">
        <v>0</v>
      </c>
      <c r="X89" s="1010">
        <v>1</v>
      </c>
    </row>
    <row r="90" spans="1:24">
      <c r="A90" s="838" t="s">
        <v>2469</v>
      </c>
      <c r="B90" s="840" t="s">
        <v>2049</v>
      </c>
      <c r="C90" s="857">
        <v>12159.543258</v>
      </c>
      <c r="D90" s="857">
        <v>0</v>
      </c>
      <c r="E90" s="857">
        <v>11652.768258</v>
      </c>
      <c r="F90" s="857">
        <v>506.77499999999998</v>
      </c>
      <c r="G90" s="857">
        <v>12149.840145</v>
      </c>
      <c r="H90" s="857">
        <v>12149.840145</v>
      </c>
      <c r="I90" s="857">
        <v>0</v>
      </c>
      <c r="J90" s="857">
        <v>0</v>
      </c>
      <c r="K90" s="857">
        <v>0</v>
      </c>
      <c r="L90" s="857">
        <v>0</v>
      </c>
      <c r="M90" s="857">
        <v>0</v>
      </c>
      <c r="N90" s="857">
        <v>0</v>
      </c>
      <c r="O90" s="857">
        <v>0</v>
      </c>
      <c r="P90" s="857">
        <v>0</v>
      </c>
      <c r="Q90" s="857">
        <v>0</v>
      </c>
      <c r="R90" s="857">
        <v>0</v>
      </c>
      <c r="S90" s="857">
        <v>0</v>
      </c>
      <c r="T90" s="857">
        <v>0</v>
      </c>
      <c r="U90" s="857">
        <v>0</v>
      </c>
      <c r="V90" s="857">
        <v>0</v>
      </c>
      <c r="W90" s="857">
        <v>0</v>
      </c>
      <c r="X90" s="1010">
        <v>0.99920201665522135</v>
      </c>
    </row>
    <row r="91" spans="1:24" ht="31.5">
      <c r="A91" s="838" t="s">
        <v>2469</v>
      </c>
      <c r="B91" s="840" t="s">
        <v>2050</v>
      </c>
      <c r="C91" s="857">
        <v>8493.4733770000003</v>
      </c>
      <c r="D91" s="857">
        <v>0</v>
      </c>
      <c r="E91" s="857">
        <v>8006.6053769999999</v>
      </c>
      <c r="F91" s="857">
        <v>486.86799999999999</v>
      </c>
      <c r="G91" s="857">
        <v>8493.4733770000003</v>
      </c>
      <c r="H91" s="857">
        <v>8493.4733770000003</v>
      </c>
      <c r="I91" s="857">
        <v>0</v>
      </c>
      <c r="J91" s="857">
        <v>0</v>
      </c>
      <c r="K91" s="857">
        <v>0</v>
      </c>
      <c r="L91" s="857">
        <v>0</v>
      </c>
      <c r="M91" s="857">
        <v>0</v>
      </c>
      <c r="N91" s="857">
        <v>0</v>
      </c>
      <c r="O91" s="857">
        <v>0</v>
      </c>
      <c r="P91" s="857">
        <v>0</v>
      </c>
      <c r="Q91" s="857">
        <v>0</v>
      </c>
      <c r="R91" s="857">
        <v>0</v>
      </c>
      <c r="S91" s="857">
        <v>0</v>
      </c>
      <c r="T91" s="857">
        <v>0</v>
      </c>
      <c r="U91" s="857">
        <v>0</v>
      </c>
      <c r="V91" s="857">
        <v>0</v>
      </c>
      <c r="W91" s="857">
        <v>0</v>
      </c>
      <c r="X91" s="1010">
        <v>1</v>
      </c>
    </row>
    <row r="92" spans="1:24">
      <c r="A92" s="838" t="s">
        <v>2469</v>
      </c>
      <c r="B92" s="840" t="s">
        <v>2051</v>
      </c>
      <c r="C92" s="857">
        <v>9068.7790000000005</v>
      </c>
      <c r="D92" s="857">
        <v>200</v>
      </c>
      <c r="E92" s="857">
        <v>8546.6039999999994</v>
      </c>
      <c r="F92" s="857">
        <v>322.17500000000001</v>
      </c>
      <c r="G92" s="857">
        <v>9068.7790000000005</v>
      </c>
      <c r="H92" s="857">
        <v>9068.7790000000005</v>
      </c>
      <c r="I92" s="857">
        <v>0</v>
      </c>
      <c r="J92" s="857">
        <v>0</v>
      </c>
      <c r="K92" s="857">
        <v>0</v>
      </c>
      <c r="L92" s="857">
        <v>0</v>
      </c>
      <c r="M92" s="857">
        <v>0</v>
      </c>
      <c r="N92" s="857">
        <v>0</v>
      </c>
      <c r="O92" s="857">
        <v>0</v>
      </c>
      <c r="P92" s="857">
        <v>0</v>
      </c>
      <c r="Q92" s="857">
        <v>0</v>
      </c>
      <c r="R92" s="857">
        <v>0</v>
      </c>
      <c r="S92" s="857">
        <v>0</v>
      </c>
      <c r="T92" s="857">
        <v>0</v>
      </c>
      <c r="U92" s="857">
        <v>0</v>
      </c>
      <c r="V92" s="857">
        <v>0</v>
      </c>
      <c r="W92" s="857">
        <v>0</v>
      </c>
      <c r="X92" s="1010">
        <v>1</v>
      </c>
    </row>
    <row r="93" spans="1:24" ht="31.5">
      <c r="A93" s="838" t="s">
        <v>2469</v>
      </c>
      <c r="B93" s="840" t="s">
        <v>2038</v>
      </c>
      <c r="C93" s="857">
        <v>43453.065999999999</v>
      </c>
      <c r="D93" s="857">
        <v>2322.2730000000001</v>
      </c>
      <c r="E93" s="857">
        <v>40564.173000000003</v>
      </c>
      <c r="F93" s="857">
        <v>566.62</v>
      </c>
      <c r="G93" s="857">
        <v>43021.400937999999</v>
      </c>
      <c r="H93" s="857">
        <v>32748.799938</v>
      </c>
      <c r="I93" s="857">
        <v>0</v>
      </c>
      <c r="J93" s="857">
        <v>0</v>
      </c>
      <c r="K93" s="857">
        <v>0</v>
      </c>
      <c r="L93" s="857">
        <v>0</v>
      </c>
      <c r="M93" s="857">
        <v>0</v>
      </c>
      <c r="N93" s="857">
        <v>0</v>
      </c>
      <c r="O93" s="857">
        <v>0</v>
      </c>
      <c r="P93" s="857">
        <v>0</v>
      </c>
      <c r="Q93" s="857">
        <v>210</v>
      </c>
      <c r="R93" s="857">
        <v>0</v>
      </c>
      <c r="S93" s="857">
        <v>0</v>
      </c>
      <c r="T93" s="857">
        <v>210</v>
      </c>
      <c r="U93" s="857">
        <v>7740.3280000000004</v>
      </c>
      <c r="V93" s="857">
        <v>0</v>
      </c>
      <c r="W93" s="857">
        <v>2322.2730000000001</v>
      </c>
      <c r="X93" s="1010">
        <v>0.99006594696908157</v>
      </c>
    </row>
    <row r="94" spans="1:24">
      <c r="A94" s="838" t="s">
        <v>2469</v>
      </c>
      <c r="B94" s="840" t="s">
        <v>2052</v>
      </c>
      <c r="C94" s="857">
        <v>12040.102999999999</v>
      </c>
      <c r="D94" s="857">
        <v>0</v>
      </c>
      <c r="E94" s="857">
        <v>11447.153</v>
      </c>
      <c r="F94" s="857">
        <v>592.95000000000005</v>
      </c>
      <c r="G94" s="857">
        <v>12007.9877</v>
      </c>
      <c r="H94" s="857">
        <v>12007.9877</v>
      </c>
      <c r="I94" s="857">
        <v>0</v>
      </c>
      <c r="J94" s="857">
        <v>0</v>
      </c>
      <c r="K94" s="857">
        <v>0</v>
      </c>
      <c r="L94" s="857">
        <v>0</v>
      </c>
      <c r="M94" s="857">
        <v>0</v>
      </c>
      <c r="N94" s="857">
        <v>0</v>
      </c>
      <c r="O94" s="857">
        <v>0</v>
      </c>
      <c r="P94" s="857">
        <v>0</v>
      </c>
      <c r="Q94" s="857">
        <v>0</v>
      </c>
      <c r="R94" s="857">
        <v>0</v>
      </c>
      <c r="S94" s="857">
        <v>0</v>
      </c>
      <c r="T94" s="857">
        <v>0</v>
      </c>
      <c r="U94" s="857">
        <v>0</v>
      </c>
      <c r="V94" s="857">
        <v>0</v>
      </c>
      <c r="W94" s="857">
        <v>0</v>
      </c>
      <c r="X94" s="1010">
        <v>0.99733263909785497</v>
      </c>
    </row>
    <row r="95" spans="1:24">
      <c r="A95" s="838" t="s">
        <v>2469</v>
      </c>
      <c r="B95" s="840" t="s">
        <v>2053</v>
      </c>
      <c r="C95" s="857">
        <v>9836.6338909999995</v>
      </c>
      <c r="D95" s="857">
        <v>0</v>
      </c>
      <c r="E95" s="857">
        <v>9390.1588909999991</v>
      </c>
      <c r="F95" s="857">
        <v>446.47500000000002</v>
      </c>
      <c r="G95" s="857">
        <v>9836.6338909999995</v>
      </c>
      <c r="H95" s="857">
        <v>9836.6338909999995</v>
      </c>
      <c r="I95" s="857">
        <v>0</v>
      </c>
      <c r="J95" s="857">
        <v>0</v>
      </c>
      <c r="K95" s="857">
        <v>0</v>
      </c>
      <c r="L95" s="857">
        <v>0</v>
      </c>
      <c r="M95" s="857">
        <v>0</v>
      </c>
      <c r="N95" s="857">
        <v>0</v>
      </c>
      <c r="O95" s="857">
        <v>0</v>
      </c>
      <c r="P95" s="857">
        <v>0</v>
      </c>
      <c r="Q95" s="857">
        <v>0</v>
      </c>
      <c r="R95" s="857">
        <v>0</v>
      </c>
      <c r="S95" s="857">
        <v>0</v>
      </c>
      <c r="T95" s="857">
        <v>0</v>
      </c>
      <c r="U95" s="857">
        <v>0</v>
      </c>
      <c r="V95" s="857">
        <v>0</v>
      </c>
      <c r="W95" s="857">
        <v>0</v>
      </c>
      <c r="X95" s="1010">
        <v>1</v>
      </c>
    </row>
    <row r="96" spans="1:24" ht="31.5">
      <c r="A96" s="838" t="s">
        <v>2469</v>
      </c>
      <c r="B96" s="840" t="s">
        <v>2054</v>
      </c>
      <c r="C96" s="857">
        <v>8100.3386970000001</v>
      </c>
      <c r="D96" s="857">
        <v>0</v>
      </c>
      <c r="E96" s="857">
        <v>7739.2186970000002</v>
      </c>
      <c r="F96" s="857">
        <v>361.12</v>
      </c>
      <c r="G96" s="857">
        <v>8100.3386970000001</v>
      </c>
      <c r="H96" s="857">
        <v>8100.3386970000001</v>
      </c>
      <c r="I96" s="857">
        <v>0</v>
      </c>
      <c r="J96" s="857">
        <v>0</v>
      </c>
      <c r="K96" s="857">
        <v>0</v>
      </c>
      <c r="L96" s="857">
        <v>0</v>
      </c>
      <c r="M96" s="857">
        <v>0</v>
      </c>
      <c r="N96" s="857">
        <v>0</v>
      </c>
      <c r="O96" s="857">
        <v>0</v>
      </c>
      <c r="P96" s="857">
        <v>0</v>
      </c>
      <c r="Q96" s="857">
        <v>0</v>
      </c>
      <c r="R96" s="857">
        <v>0</v>
      </c>
      <c r="S96" s="857">
        <v>0</v>
      </c>
      <c r="T96" s="857">
        <v>0</v>
      </c>
      <c r="U96" s="857">
        <v>0</v>
      </c>
      <c r="V96" s="857">
        <v>0</v>
      </c>
      <c r="W96" s="857">
        <v>0</v>
      </c>
      <c r="X96" s="1010">
        <v>1</v>
      </c>
    </row>
    <row r="97" spans="1:24">
      <c r="A97" s="838" t="s">
        <v>2469</v>
      </c>
      <c r="B97" s="840" t="s">
        <v>2055</v>
      </c>
      <c r="C97" s="857">
        <v>7861.0177620000004</v>
      </c>
      <c r="D97" s="857">
        <v>0.6</v>
      </c>
      <c r="E97" s="857">
        <v>7327.0297620000001</v>
      </c>
      <c r="F97" s="857">
        <v>533.38800000000003</v>
      </c>
      <c r="G97" s="857">
        <v>7861.0177620000004</v>
      </c>
      <c r="H97" s="857">
        <v>7861.0177620000004</v>
      </c>
      <c r="I97" s="857">
        <v>0</v>
      </c>
      <c r="J97" s="857">
        <v>0</v>
      </c>
      <c r="K97" s="857">
        <v>0</v>
      </c>
      <c r="L97" s="857">
        <v>0</v>
      </c>
      <c r="M97" s="857">
        <v>0</v>
      </c>
      <c r="N97" s="857">
        <v>0</v>
      </c>
      <c r="O97" s="857">
        <v>0</v>
      </c>
      <c r="P97" s="857">
        <v>0</v>
      </c>
      <c r="Q97" s="857">
        <v>0</v>
      </c>
      <c r="R97" s="857">
        <v>0</v>
      </c>
      <c r="S97" s="857">
        <v>0</v>
      </c>
      <c r="T97" s="857">
        <v>0</v>
      </c>
      <c r="U97" s="857">
        <v>0</v>
      </c>
      <c r="V97" s="857">
        <v>0</v>
      </c>
      <c r="W97" s="857">
        <v>0</v>
      </c>
      <c r="X97" s="1010">
        <v>1</v>
      </c>
    </row>
    <row r="98" spans="1:24" ht="31.5">
      <c r="A98" s="838" t="s">
        <v>2469</v>
      </c>
      <c r="B98" s="840" t="s">
        <v>2056</v>
      </c>
      <c r="C98" s="857">
        <v>2900.412084</v>
      </c>
      <c r="D98" s="857">
        <v>0</v>
      </c>
      <c r="E98" s="857">
        <v>2900.412084</v>
      </c>
      <c r="F98" s="857">
        <v>0</v>
      </c>
      <c r="G98" s="857">
        <v>2900.412084</v>
      </c>
      <c r="H98" s="857">
        <v>2900.412084</v>
      </c>
      <c r="I98" s="857">
        <v>0</v>
      </c>
      <c r="J98" s="857">
        <v>0</v>
      </c>
      <c r="K98" s="857">
        <v>0</v>
      </c>
      <c r="L98" s="857">
        <v>0</v>
      </c>
      <c r="M98" s="857">
        <v>0</v>
      </c>
      <c r="N98" s="857">
        <v>0</v>
      </c>
      <c r="O98" s="857">
        <v>0</v>
      </c>
      <c r="P98" s="857">
        <v>0</v>
      </c>
      <c r="Q98" s="857">
        <v>0</v>
      </c>
      <c r="R98" s="857">
        <v>0</v>
      </c>
      <c r="S98" s="857">
        <v>0</v>
      </c>
      <c r="T98" s="857">
        <v>0</v>
      </c>
      <c r="U98" s="857">
        <v>0</v>
      </c>
      <c r="V98" s="857">
        <v>0</v>
      </c>
      <c r="W98" s="857">
        <v>0</v>
      </c>
      <c r="X98" s="1010">
        <v>1</v>
      </c>
    </row>
    <row r="99" spans="1:24" ht="31.5">
      <c r="A99" s="838" t="s">
        <v>2469</v>
      </c>
      <c r="B99" s="840" t="s">
        <v>2057</v>
      </c>
      <c r="C99" s="857">
        <v>14071.983</v>
      </c>
      <c r="D99" s="857">
        <v>0</v>
      </c>
      <c r="E99" s="857">
        <v>13363.53</v>
      </c>
      <c r="F99" s="857">
        <v>708.45299999999997</v>
      </c>
      <c r="G99" s="857">
        <v>14056.391</v>
      </c>
      <c r="H99" s="857">
        <v>14056.391</v>
      </c>
      <c r="I99" s="857">
        <v>0</v>
      </c>
      <c r="J99" s="857">
        <v>0</v>
      </c>
      <c r="K99" s="857">
        <v>0</v>
      </c>
      <c r="L99" s="857">
        <v>0</v>
      </c>
      <c r="M99" s="857">
        <v>0</v>
      </c>
      <c r="N99" s="857">
        <v>0</v>
      </c>
      <c r="O99" s="857">
        <v>0</v>
      </c>
      <c r="P99" s="857">
        <v>0</v>
      </c>
      <c r="Q99" s="857">
        <v>0</v>
      </c>
      <c r="R99" s="857">
        <v>0</v>
      </c>
      <c r="S99" s="857">
        <v>0</v>
      </c>
      <c r="T99" s="857">
        <v>0</v>
      </c>
      <c r="U99" s="857">
        <v>0</v>
      </c>
      <c r="V99" s="857">
        <v>0</v>
      </c>
      <c r="W99" s="857">
        <v>0</v>
      </c>
      <c r="X99" s="1010">
        <v>0.99889198274329916</v>
      </c>
    </row>
    <row r="100" spans="1:24" ht="31.5">
      <c r="A100" s="838" t="s">
        <v>2469</v>
      </c>
      <c r="B100" s="840" t="s">
        <v>2058</v>
      </c>
      <c r="C100" s="857">
        <v>11064.214110999999</v>
      </c>
      <c r="D100" s="857">
        <v>0.15</v>
      </c>
      <c r="E100" s="857">
        <v>10114.716511000001</v>
      </c>
      <c r="F100" s="857">
        <v>949.34760000000006</v>
      </c>
      <c r="G100" s="857">
        <v>10909.871723</v>
      </c>
      <c r="H100" s="857">
        <v>10909.871723</v>
      </c>
      <c r="I100" s="857">
        <v>0</v>
      </c>
      <c r="J100" s="857">
        <v>0</v>
      </c>
      <c r="K100" s="857">
        <v>0</v>
      </c>
      <c r="L100" s="857">
        <v>0</v>
      </c>
      <c r="M100" s="857">
        <v>0</v>
      </c>
      <c r="N100" s="857">
        <v>0</v>
      </c>
      <c r="O100" s="857">
        <v>0</v>
      </c>
      <c r="P100" s="857">
        <v>0</v>
      </c>
      <c r="Q100" s="857">
        <v>0</v>
      </c>
      <c r="R100" s="857">
        <v>0</v>
      </c>
      <c r="S100" s="857">
        <v>0</v>
      </c>
      <c r="T100" s="857">
        <v>0</v>
      </c>
      <c r="U100" s="857">
        <v>0</v>
      </c>
      <c r="V100" s="857">
        <v>0</v>
      </c>
      <c r="W100" s="857">
        <v>0</v>
      </c>
      <c r="X100" s="1010">
        <v>0.98605030719293907</v>
      </c>
    </row>
    <row r="101" spans="1:24" ht="31.5">
      <c r="A101" s="838" t="s">
        <v>2469</v>
      </c>
      <c r="B101" s="840" t="s">
        <v>2059</v>
      </c>
      <c r="C101" s="857">
        <v>10568.115</v>
      </c>
      <c r="D101" s="857">
        <v>0</v>
      </c>
      <c r="E101" s="857">
        <v>9622.9680000000008</v>
      </c>
      <c r="F101" s="857">
        <v>945.14700000000005</v>
      </c>
      <c r="G101" s="857">
        <v>10512.012500000001</v>
      </c>
      <c r="H101" s="857">
        <v>10512.012500000001</v>
      </c>
      <c r="I101" s="857">
        <v>0</v>
      </c>
      <c r="J101" s="857">
        <v>0</v>
      </c>
      <c r="K101" s="857">
        <v>0</v>
      </c>
      <c r="L101" s="857">
        <v>0</v>
      </c>
      <c r="M101" s="857">
        <v>0</v>
      </c>
      <c r="N101" s="857">
        <v>0</v>
      </c>
      <c r="O101" s="857">
        <v>0</v>
      </c>
      <c r="P101" s="857">
        <v>0</v>
      </c>
      <c r="Q101" s="857">
        <v>0</v>
      </c>
      <c r="R101" s="857">
        <v>0</v>
      </c>
      <c r="S101" s="857">
        <v>0</v>
      </c>
      <c r="T101" s="857">
        <v>0</v>
      </c>
      <c r="U101" s="857">
        <v>0</v>
      </c>
      <c r="V101" s="857">
        <v>0</v>
      </c>
      <c r="W101" s="857">
        <v>0</v>
      </c>
      <c r="X101" s="1010">
        <v>0.99469134277967275</v>
      </c>
    </row>
    <row r="102" spans="1:24">
      <c r="A102" s="838" t="s">
        <v>2469</v>
      </c>
      <c r="B102" s="840" t="s">
        <v>2060</v>
      </c>
      <c r="C102" s="857">
        <v>11515.540999999999</v>
      </c>
      <c r="D102" s="857">
        <v>0</v>
      </c>
      <c r="E102" s="857">
        <v>11032.641</v>
      </c>
      <c r="F102" s="857">
        <v>482.9</v>
      </c>
      <c r="G102" s="857">
        <v>11515.540999999999</v>
      </c>
      <c r="H102" s="857">
        <v>11515.540999999999</v>
      </c>
      <c r="I102" s="857">
        <v>0</v>
      </c>
      <c r="J102" s="857">
        <v>0</v>
      </c>
      <c r="K102" s="857">
        <v>0</v>
      </c>
      <c r="L102" s="857">
        <v>0</v>
      </c>
      <c r="M102" s="857">
        <v>0</v>
      </c>
      <c r="N102" s="857">
        <v>0</v>
      </c>
      <c r="O102" s="857">
        <v>0</v>
      </c>
      <c r="P102" s="857">
        <v>0</v>
      </c>
      <c r="Q102" s="857">
        <v>0</v>
      </c>
      <c r="R102" s="857">
        <v>0</v>
      </c>
      <c r="S102" s="857">
        <v>0</v>
      </c>
      <c r="T102" s="857">
        <v>0</v>
      </c>
      <c r="U102" s="857">
        <v>0</v>
      </c>
      <c r="V102" s="857">
        <v>0</v>
      </c>
      <c r="W102" s="857">
        <v>0</v>
      </c>
      <c r="X102" s="1010">
        <v>1</v>
      </c>
    </row>
    <row r="103" spans="1:24" ht="31.5">
      <c r="A103" s="838" t="s">
        <v>2469</v>
      </c>
      <c r="B103" s="840" t="s">
        <v>2061</v>
      </c>
      <c r="C103" s="857">
        <v>11231.094906</v>
      </c>
      <c r="D103" s="857">
        <v>0.12</v>
      </c>
      <c r="E103" s="857">
        <v>10503.388156000001</v>
      </c>
      <c r="F103" s="857">
        <v>727.58675000000005</v>
      </c>
      <c r="G103" s="857">
        <v>11193.392893</v>
      </c>
      <c r="H103" s="857">
        <v>11193.392893</v>
      </c>
      <c r="I103" s="857">
        <v>0</v>
      </c>
      <c r="J103" s="857">
        <v>0</v>
      </c>
      <c r="K103" s="857">
        <v>0</v>
      </c>
      <c r="L103" s="857">
        <v>0</v>
      </c>
      <c r="M103" s="857">
        <v>0</v>
      </c>
      <c r="N103" s="857">
        <v>0</v>
      </c>
      <c r="O103" s="857">
        <v>0</v>
      </c>
      <c r="P103" s="857">
        <v>0</v>
      </c>
      <c r="Q103" s="857">
        <v>0</v>
      </c>
      <c r="R103" s="857">
        <v>0</v>
      </c>
      <c r="S103" s="857">
        <v>0</v>
      </c>
      <c r="T103" s="857">
        <v>0</v>
      </c>
      <c r="U103" s="857">
        <v>0</v>
      </c>
      <c r="V103" s="857">
        <v>0</v>
      </c>
      <c r="W103" s="857">
        <v>0</v>
      </c>
      <c r="X103" s="1010">
        <v>0.9966430687911062</v>
      </c>
    </row>
    <row r="104" spans="1:24">
      <c r="A104" s="838" t="s">
        <v>2469</v>
      </c>
      <c r="B104" s="840" t="s">
        <v>2062</v>
      </c>
      <c r="C104" s="857">
        <v>9667.8765000000003</v>
      </c>
      <c r="D104" s="857">
        <v>0</v>
      </c>
      <c r="E104" s="857">
        <v>8635.4169999999995</v>
      </c>
      <c r="F104" s="857">
        <v>1032.4594999999999</v>
      </c>
      <c r="G104" s="857">
        <v>9640.0545000000002</v>
      </c>
      <c r="H104" s="857">
        <v>9640.0545000000002</v>
      </c>
      <c r="I104" s="857">
        <v>0</v>
      </c>
      <c r="J104" s="857">
        <v>0</v>
      </c>
      <c r="K104" s="857">
        <v>0</v>
      </c>
      <c r="L104" s="857">
        <v>0</v>
      </c>
      <c r="M104" s="857">
        <v>0</v>
      </c>
      <c r="N104" s="857">
        <v>0</v>
      </c>
      <c r="O104" s="857">
        <v>0</v>
      </c>
      <c r="P104" s="857">
        <v>0</v>
      </c>
      <c r="Q104" s="857">
        <v>0</v>
      </c>
      <c r="R104" s="857">
        <v>0</v>
      </c>
      <c r="S104" s="857">
        <v>0</v>
      </c>
      <c r="T104" s="857">
        <v>0</v>
      </c>
      <c r="U104" s="857">
        <v>0</v>
      </c>
      <c r="V104" s="857">
        <v>0</v>
      </c>
      <c r="W104" s="857">
        <v>0</v>
      </c>
      <c r="X104" s="1010">
        <v>0.9971222222377375</v>
      </c>
    </row>
    <row r="105" spans="1:24">
      <c r="A105" s="838" t="s">
        <v>2469</v>
      </c>
      <c r="B105" s="840" t="s">
        <v>2063</v>
      </c>
      <c r="C105" s="857">
        <v>10361.566000000001</v>
      </c>
      <c r="D105" s="857">
        <v>2.4</v>
      </c>
      <c r="E105" s="857">
        <v>9517.0859999999993</v>
      </c>
      <c r="F105" s="857">
        <v>842.08</v>
      </c>
      <c r="G105" s="857">
        <v>10339.474</v>
      </c>
      <c r="H105" s="857">
        <v>10339.474</v>
      </c>
      <c r="I105" s="857">
        <v>0</v>
      </c>
      <c r="J105" s="857">
        <v>0</v>
      </c>
      <c r="K105" s="857">
        <v>0</v>
      </c>
      <c r="L105" s="857">
        <v>0</v>
      </c>
      <c r="M105" s="857">
        <v>0</v>
      </c>
      <c r="N105" s="857">
        <v>0</v>
      </c>
      <c r="O105" s="857">
        <v>0</v>
      </c>
      <c r="P105" s="857">
        <v>0</v>
      </c>
      <c r="Q105" s="857">
        <v>0</v>
      </c>
      <c r="R105" s="857">
        <v>0</v>
      </c>
      <c r="S105" s="857">
        <v>0</v>
      </c>
      <c r="T105" s="857">
        <v>0</v>
      </c>
      <c r="U105" s="857">
        <v>0</v>
      </c>
      <c r="V105" s="857">
        <v>0</v>
      </c>
      <c r="W105" s="857">
        <v>0</v>
      </c>
      <c r="X105" s="1010">
        <v>0.99786788985371511</v>
      </c>
    </row>
    <row r="106" spans="1:24" ht="31.5">
      <c r="A106" s="838" t="s">
        <v>2469</v>
      </c>
      <c r="B106" s="840" t="s">
        <v>2064</v>
      </c>
      <c r="C106" s="857">
        <v>5272.7116400000004</v>
      </c>
      <c r="D106" s="857">
        <v>0</v>
      </c>
      <c r="E106" s="857">
        <v>4938.0516399999997</v>
      </c>
      <c r="F106" s="857">
        <v>334.66</v>
      </c>
      <c r="G106" s="857">
        <v>5132.8258560000004</v>
      </c>
      <c r="H106" s="857">
        <v>5132.8258560000004</v>
      </c>
      <c r="I106" s="857">
        <v>0</v>
      </c>
      <c r="J106" s="857">
        <v>0</v>
      </c>
      <c r="K106" s="857">
        <v>0</v>
      </c>
      <c r="L106" s="857">
        <v>0</v>
      </c>
      <c r="M106" s="857">
        <v>0</v>
      </c>
      <c r="N106" s="857">
        <v>0</v>
      </c>
      <c r="O106" s="857">
        <v>0</v>
      </c>
      <c r="P106" s="857">
        <v>0</v>
      </c>
      <c r="Q106" s="857">
        <v>0</v>
      </c>
      <c r="R106" s="857">
        <v>0</v>
      </c>
      <c r="S106" s="857">
        <v>0</v>
      </c>
      <c r="T106" s="857">
        <v>0</v>
      </c>
      <c r="U106" s="857">
        <v>0</v>
      </c>
      <c r="V106" s="857">
        <v>0</v>
      </c>
      <c r="W106" s="857">
        <v>0</v>
      </c>
      <c r="X106" s="1010">
        <v>0.97346985885994708</v>
      </c>
    </row>
    <row r="107" spans="1:24" ht="31.5">
      <c r="A107" s="838" t="s">
        <v>2469</v>
      </c>
      <c r="B107" s="840" t="s">
        <v>2065</v>
      </c>
      <c r="C107" s="857">
        <v>20121.711188000001</v>
      </c>
      <c r="D107" s="857">
        <v>5.4</v>
      </c>
      <c r="E107" s="857">
        <v>18611.377587999999</v>
      </c>
      <c r="F107" s="857">
        <v>1504.9336000000001</v>
      </c>
      <c r="G107" s="857">
        <v>19694.576742000001</v>
      </c>
      <c r="H107" s="857">
        <v>19694.576742000001</v>
      </c>
      <c r="I107" s="857">
        <v>0</v>
      </c>
      <c r="J107" s="857">
        <v>0</v>
      </c>
      <c r="K107" s="857">
        <v>0</v>
      </c>
      <c r="L107" s="857">
        <v>0</v>
      </c>
      <c r="M107" s="857">
        <v>0</v>
      </c>
      <c r="N107" s="857">
        <v>0</v>
      </c>
      <c r="O107" s="857">
        <v>0</v>
      </c>
      <c r="P107" s="857">
        <v>0</v>
      </c>
      <c r="Q107" s="857">
        <v>0</v>
      </c>
      <c r="R107" s="857">
        <v>0</v>
      </c>
      <c r="S107" s="857">
        <v>0</v>
      </c>
      <c r="T107" s="857">
        <v>0</v>
      </c>
      <c r="U107" s="857">
        <v>0</v>
      </c>
      <c r="V107" s="857">
        <v>0</v>
      </c>
      <c r="W107" s="857">
        <v>0</v>
      </c>
      <c r="X107" s="1010">
        <v>0.97877245916069355</v>
      </c>
    </row>
    <row r="108" spans="1:24" ht="31.5">
      <c r="A108" s="838" t="s">
        <v>2469</v>
      </c>
      <c r="B108" s="840" t="s">
        <v>2066</v>
      </c>
      <c r="C108" s="857">
        <v>11980.979499999999</v>
      </c>
      <c r="D108" s="857">
        <v>0</v>
      </c>
      <c r="E108" s="857">
        <v>11039.428</v>
      </c>
      <c r="F108" s="857">
        <v>941.55150000000003</v>
      </c>
      <c r="G108" s="857">
        <v>11972.354499999999</v>
      </c>
      <c r="H108" s="857">
        <v>11972.354499999999</v>
      </c>
      <c r="I108" s="857">
        <v>0</v>
      </c>
      <c r="J108" s="857">
        <v>0</v>
      </c>
      <c r="K108" s="857">
        <v>0</v>
      </c>
      <c r="L108" s="857">
        <v>0</v>
      </c>
      <c r="M108" s="857">
        <v>0</v>
      </c>
      <c r="N108" s="857">
        <v>0</v>
      </c>
      <c r="O108" s="857">
        <v>0</v>
      </c>
      <c r="P108" s="857">
        <v>0</v>
      </c>
      <c r="Q108" s="857">
        <v>0</v>
      </c>
      <c r="R108" s="857">
        <v>0</v>
      </c>
      <c r="S108" s="857">
        <v>0</v>
      </c>
      <c r="T108" s="857">
        <v>0</v>
      </c>
      <c r="U108" s="857">
        <v>0</v>
      </c>
      <c r="V108" s="857">
        <v>0</v>
      </c>
      <c r="W108" s="857">
        <v>0</v>
      </c>
      <c r="X108" s="1010">
        <v>0.99928010894267871</v>
      </c>
    </row>
    <row r="109" spans="1:24" ht="31.5">
      <c r="A109" s="838" t="s">
        <v>2469</v>
      </c>
      <c r="B109" s="840" t="s">
        <v>2067</v>
      </c>
      <c r="C109" s="857">
        <v>6998.4953439999999</v>
      </c>
      <c r="D109" s="857">
        <v>1.2</v>
      </c>
      <c r="E109" s="857">
        <v>6509.5136210000001</v>
      </c>
      <c r="F109" s="857">
        <v>487.781723</v>
      </c>
      <c r="G109" s="857">
        <v>6998.4953439999999</v>
      </c>
      <c r="H109" s="857">
        <v>6998.4953439999999</v>
      </c>
      <c r="I109" s="857">
        <v>0</v>
      </c>
      <c r="J109" s="857">
        <v>0</v>
      </c>
      <c r="K109" s="857">
        <v>0</v>
      </c>
      <c r="L109" s="857">
        <v>0</v>
      </c>
      <c r="M109" s="857">
        <v>0</v>
      </c>
      <c r="N109" s="857">
        <v>0</v>
      </c>
      <c r="O109" s="857">
        <v>0</v>
      </c>
      <c r="P109" s="857">
        <v>0</v>
      </c>
      <c r="Q109" s="857">
        <v>0</v>
      </c>
      <c r="R109" s="857">
        <v>0</v>
      </c>
      <c r="S109" s="857">
        <v>0</v>
      </c>
      <c r="T109" s="857">
        <v>0</v>
      </c>
      <c r="U109" s="857">
        <v>0</v>
      </c>
      <c r="V109" s="857">
        <v>0</v>
      </c>
      <c r="W109" s="857">
        <v>0</v>
      </c>
      <c r="X109" s="1010">
        <v>1</v>
      </c>
    </row>
    <row r="110" spans="1:24">
      <c r="A110" s="838" t="s">
        <v>1984</v>
      </c>
      <c r="B110" s="840" t="s">
        <v>525</v>
      </c>
      <c r="C110" s="857">
        <v>416684.11259899999</v>
      </c>
      <c r="D110" s="857">
        <v>13339.428787999999</v>
      </c>
      <c r="E110" s="857">
        <v>180718.15957799999</v>
      </c>
      <c r="F110" s="857">
        <v>222626.524233</v>
      </c>
      <c r="G110" s="857">
        <v>392828.05247900001</v>
      </c>
      <c r="H110" s="857">
        <v>0</v>
      </c>
      <c r="I110" s="857">
        <v>0</v>
      </c>
      <c r="J110" s="857">
        <v>524.16039999999998</v>
      </c>
      <c r="K110" s="857">
        <v>0</v>
      </c>
      <c r="L110" s="857">
        <v>382492.05579100002</v>
      </c>
      <c r="M110" s="857">
        <v>0</v>
      </c>
      <c r="N110" s="857">
        <v>0</v>
      </c>
      <c r="O110" s="857">
        <v>0</v>
      </c>
      <c r="P110" s="857">
        <v>0</v>
      </c>
      <c r="Q110" s="857">
        <v>441.278188</v>
      </c>
      <c r="R110" s="857">
        <v>0</v>
      </c>
      <c r="S110" s="857">
        <v>0</v>
      </c>
      <c r="T110" s="857">
        <v>441.278188</v>
      </c>
      <c r="U110" s="857">
        <v>9370.5581000000002</v>
      </c>
      <c r="V110" s="857">
        <v>0</v>
      </c>
      <c r="W110" s="857">
        <v>0</v>
      </c>
      <c r="X110" s="1010">
        <v>0.94274785287300333</v>
      </c>
    </row>
    <row r="111" spans="1:24" ht="31.5">
      <c r="A111" s="838" t="s">
        <v>2469</v>
      </c>
      <c r="B111" s="839" t="s">
        <v>2069</v>
      </c>
      <c r="C111" s="857">
        <v>171.62200000000001</v>
      </c>
      <c r="D111" s="857">
        <v>0</v>
      </c>
      <c r="E111" s="857">
        <v>171.24</v>
      </c>
      <c r="F111" s="857">
        <v>0.38200000000000001</v>
      </c>
      <c r="G111" s="857">
        <v>171.62200000000001</v>
      </c>
      <c r="H111" s="857">
        <v>0</v>
      </c>
      <c r="I111" s="857">
        <v>0</v>
      </c>
      <c r="J111" s="857">
        <v>0.38200000000000001</v>
      </c>
      <c r="K111" s="857">
        <v>0</v>
      </c>
      <c r="L111" s="857">
        <v>171.24</v>
      </c>
      <c r="M111" s="857">
        <v>0</v>
      </c>
      <c r="N111" s="857">
        <v>0</v>
      </c>
      <c r="O111" s="857">
        <v>0</v>
      </c>
      <c r="P111" s="857">
        <v>0</v>
      </c>
      <c r="Q111" s="857">
        <v>0</v>
      </c>
      <c r="R111" s="857">
        <v>0</v>
      </c>
      <c r="S111" s="857">
        <v>0</v>
      </c>
      <c r="T111" s="857">
        <v>0</v>
      </c>
      <c r="U111" s="857">
        <v>0</v>
      </c>
      <c r="V111" s="857">
        <v>0</v>
      </c>
      <c r="W111" s="857">
        <v>0</v>
      </c>
      <c r="X111" s="1010">
        <v>1</v>
      </c>
    </row>
    <row r="112" spans="1:24">
      <c r="A112" s="838" t="s">
        <v>2469</v>
      </c>
      <c r="B112" s="840" t="s">
        <v>2070</v>
      </c>
      <c r="C112" s="857">
        <v>1668.078</v>
      </c>
      <c r="D112" s="857">
        <v>147</v>
      </c>
      <c r="E112" s="857">
        <v>1642.4639999999999</v>
      </c>
      <c r="F112" s="857">
        <v>-121.386</v>
      </c>
      <c r="G112" s="857">
        <v>1545.873957</v>
      </c>
      <c r="H112" s="857">
        <v>0</v>
      </c>
      <c r="I112" s="857">
        <v>0</v>
      </c>
      <c r="J112" s="857">
        <v>0.95599999999999996</v>
      </c>
      <c r="K112" s="857">
        <v>0</v>
      </c>
      <c r="L112" s="857">
        <v>1544.9179569999999</v>
      </c>
      <c r="M112" s="857">
        <v>0</v>
      </c>
      <c r="N112" s="857">
        <v>0</v>
      </c>
      <c r="O112" s="857">
        <v>0</v>
      </c>
      <c r="P112" s="857">
        <v>0</v>
      </c>
      <c r="Q112" s="857">
        <v>0</v>
      </c>
      <c r="R112" s="857">
        <v>0</v>
      </c>
      <c r="S112" s="857">
        <v>0</v>
      </c>
      <c r="T112" s="857">
        <v>0</v>
      </c>
      <c r="U112" s="857">
        <v>0</v>
      </c>
      <c r="V112" s="857">
        <v>0</v>
      </c>
      <c r="W112" s="857">
        <v>0</v>
      </c>
      <c r="X112" s="1010">
        <v>0.92673961109732284</v>
      </c>
    </row>
    <row r="113" spans="1:24" ht="31.5">
      <c r="A113" s="838" t="s">
        <v>2469</v>
      </c>
      <c r="B113" s="840" t="s">
        <v>2071</v>
      </c>
      <c r="C113" s="857">
        <v>43143.863616000002</v>
      </c>
      <c r="D113" s="857">
        <v>98.233360000000005</v>
      </c>
      <c r="E113" s="857">
        <v>3772.9604439999998</v>
      </c>
      <c r="F113" s="857">
        <v>39272.669812</v>
      </c>
      <c r="G113" s="857">
        <v>42165.155266000002</v>
      </c>
      <c r="H113" s="857">
        <v>0</v>
      </c>
      <c r="I113" s="857">
        <v>0</v>
      </c>
      <c r="J113" s="857">
        <v>0</v>
      </c>
      <c r="K113" s="857">
        <v>0</v>
      </c>
      <c r="L113" s="857">
        <v>42165.155266000002</v>
      </c>
      <c r="M113" s="857">
        <v>0</v>
      </c>
      <c r="N113" s="857">
        <v>0</v>
      </c>
      <c r="O113" s="857">
        <v>0</v>
      </c>
      <c r="P113" s="857">
        <v>0</v>
      </c>
      <c r="Q113" s="857">
        <v>0</v>
      </c>
      <c r="R113" s="857">
        <v>0</v>
      </c>
      <c r="S113" s="857">
        <v>0</v>
      </c>
      <c r="T113" s="857">
        <v>0</v>
      </c>
      <c r="U113" s="857">
        <v>0</v>
      </c>
      <c r="V113" s="857">
        <v>0</v>
      </c>
      <c r="W113" s="857">
        <v>0</v>
      </c>
      <c r="X113" s="1010">
        <v>0.97731523632860162</v>
      </c>
    </row>
    <row r="114" spans="1:24" ht="31.5">
      <c r="A114" s="838" t="s">
        <v>2469</v>
      </c>
      <c r="B114" s="840" t="s">
        <v>2072</v>
      </c>
      <c r="C114" s="857">
        <v>25150.781672000001</v>
      </c>
      <c r="D114" s="857">
        <v>187.40280000000001</v>
      </c>
      <c r="E114" s="857">
        <v>7061.4097279999996</v>
      </c>
      <c r="F114" s="857">
        <v>17901.969143999999</v>
      </c>
      <c r="G114" s="857">
        <v>25060.201131999998</v>
      </c>
      <c r="H114" s="857">
        <v>0</v>
      </c>
      <c r="I114" s="857">
        <v>0</v>
      </c>
      <c r="J114" s="857">
        <v>26.577999999999999</v>
      </c>
      <c r="K114" s="857">
        <v>0</v>
      </c>
      <c r="L114" s="857">
        <v>25033.623132000001</v>
      </c>
      <c r="M114" s="857">
        <v>0</v>
      </c>
      <c r="N114" s="857">
        <v>0</v>
      </c>
      <c r="O114" s="857">
        <v>0</v>
      </c>
      <c r="P114" s="857">
        <v>0</v>
      </c>
      <c r="Q114" s="857">
        <v>0</v>
      </c>
      <c r="R114" s="857">
        <v>0</v>
      </c>
      <c r="S114" s="857">
        <v>0</v>
      </c>
      <c r="T114" s="857">
        <v>0</v>
      </c>
      <c r="U114" s="857">
        <v>0</v>
      </c>
      <c r="V114" s="857">
        <v>0</v>
      </c>
      <c r="W114" s="857">
        <v>0</v>
      </c>
      <c r="X114" s="1010">
        <v>0.9963985000076222</v>
      </c>
    </row>
    <row r="115" spans="1:24">
      <c r="A115" s="838" t="s">
        <v>2469</v>
      </c>
      <c r="B115" s="840" t="s">
        <v>2073</v>
      </c>
      <c r="C115" s="857">
        <v>44446.044354999998</v>
      </c>
      <c r="D115" s="857">
        <v>3755.6314550000002</v>
      </c>
      <c r="E115" s="857">
        <v>19894.248</v>
      </c>
      <c r="F115" s="857">
        <v>20796.1649</v>
      </c>
      <c r="G115" s="857">
        <v>43110.366258000002</v>
      </c>
      <c r="H115" s="857">
        <v>0</v>
      </c>
      <c r="I115" s="857">
        <v>0</v>
      </c>
      <c r="J115" s="857">
        <v>37.100999999999999</v>
      </c>
      <c r="K115" s="857">
        <v>0</v>
      </c>
      <c r="L115" s="857">
        <v>43073.265257999999</v>
      </c>
      <c r="M115" s="857">
        <v>0</v>
      </c>
      <c r="N115" s="857">
        <v>0</v>
      </c>
      <c r="O115" s="857">
        <v>0</v>
      </c>
      <c r="P115" s="857">
        <v>0</v>
      </c>
      <c r="Q115" s="857">
        <v>0</v>
      </c>
      <c r="R115" s="857">
        <v>0</v>
      </c>
      <c r="S115" s="857">
        <v>0</v>
      </c>
      <c r="T115" s="857">
        <v>0</v>
      </c>
      <c r="U115" s="857">
        <v>0</v>
      </c>
      <c r="V115" s="857">
        <v>0</v>
      </c>
      <c r="W115" s="857">
        <v>0</v>
      </c>
      <c r="X115" s="1010">
        <v>0.96994832461733482</v>
      </c>
    </row>
    <row r="116" spans="1:24">
      <c r="A116" s="838" t="s">
        <v>2469</v>
      </c>
      <c r="B116" s="840" t="s">
        <v>2074</v>
      </c>
      <c r="C116" s="857">
        <v>37716.097717999997</v>
      </c>
      <c r="D116" s="857">
        <v>4508.5942240000004</v>
      </c>
      <c r="E116" s="857">
        <v>24875.509600000001</v>
      </c>
      <c r="F116" s="857">
        <v>8331.9938939999993</v>
      </c>
      <c r="G116" s="857">
        <v>37588.853561999997</v>
      </c>
      <c r="H116" s="857">
        <v>0</v>
      </c>
      <c r="I116" s="857">
        <v>0</v>
      </c>
      <c r="J116" s="857">
        <v>0</v>
      </c>
      <c r="K116" s="857">
        <v>0</v>
      </c>
      <c r="L116" s="857">
        <v>37588.853561999997</v>
      </c>
      <c r="M116" s="857">
        <v>0</v>
      </c>
      <c r="N116" s="857">
        <v>0</v>
      </c>
      <c r="O116" s="857">
        <v>0</v>
      </c>
      <c r="P116" s="857">
        <v>0</v>
      </c>
      <c r="Q116" s="857">
        <v>0</v>
      </c>
      <c r="R116" s="857">
        <v>0</v>
      </c>
      <c r="S116" s="857">
        <v>0</v>
      </c>
      <c r="T116" s="857">
        <v>0</v>
      </c>
      <c r="U116" s="857">
        <v>0</v>
      </c>
      <c r="V116" s="857">
        <v>0</v>
      </c>
      <c r="W116" s="857">
        <v>0</v>
      </c>
      <c r="X116" s="1010">
        <v>0.99662626401725352</v>
      </c>
    </row>
    <row r="117" spans="1:24">
      <c r="A117" s="838" t="s">
        <v>2469</v>
      </c>
      <c r="B117" s="840" t="s">
        <v>2075</v>
      </c>
      <c r="C117" s="857">
        <v>35802.660093999999</v>
      </c>
      <c r="D117" s="857">
        <v>56.442473999999997</v>
      </c>
      <c r="E117" s="857">
        <v>5144.4198059999999</v>
      </c>
      <c r="F117" s="857">
        <v>30601.797814000001</v>
      </c>
      <c r="G117" s="857">
        <v>34925.751741</v>
      </c>
      <c r="H117" s="857">
        <v>0</v>
      </c>
      <c r="I117" s="857">
        <v>0</v>
      </c>
      <c r="J117" s="857">
        <v>31.565999999999999</v>
      </c>
      <c r="K117" s="857">
        <v>0</v>
      </c>
      <c r="L117" s="857">
        <v>34894.185741000001</v>
      </c>
      <c r="M117" s="857">
        <v>0</v>
      </c>
      <c r="N117" s="857">
        <v>0</v>
      </c>
      <c r="O117" s="857">
        <v>0</v>
      </c>
      <c r="P117" s="857">
        <v>0</v>
      </c>
      <c r="Q117" s="857">
        <v>0</v>
      </c>
      <c r="R117" s="857">
        <v>0</v>
      </c>
      <c r="S117" s="857">
        <v>0</v>
      </c>
      <c r="T117" s="857">
        <v>0</v>
      </c>
      <c r="U117" s="857">
        <v>0</v>
      </c>
      <c r="V117" s="857">
        <v>0</v>
      </c>
      <c r="W117" s="857">
        <v>0</v>
      </c>
      <c r="X117" s="1010">
        <v>0.97550717319054858</v>
      </c>
    </row>
    <row r="118" spans="1:24">
      <c r="A118" s="838" t="s">
        <v>2469</v>
      </c>
      <c r="B118" s="840" t="s">
        <v>2076</v>
      </c>
      <c r="C118" s="857">
        <v>25572.890214999999</v>
      </c>
      <c r="D118" s="857">
        <v>46.317214999999997</v>
      </c>
      <c r="E118" s="857">
        <v>16726.184000000001</v>
      </c>
      <c r="F118" s="857">
        <v>8800.3889999999992</v>
      </c>
      <c r="G118" s="857">
        <v>24937.891426999999</v>
      </c>
      <c r="H118" s="857">
        <v>0</v>
      </c>
      <c r="I118" s="857">
        <v>0</v>
      </c>
      <c r="J118" s="857">
        <v>15.007999999999999</v>
      </c>
      <c r="K118" s="857">
        <v>0</v>
      </c>
      <c r="L118" s="857">
        <v>24922.883427000001</v>
      </c>
      <c r="M118" s="857">
        <v>0</v>
      </c>
      <c r="N118" s="857">
        <v>0</v>
      </c>
      <c r="O118" s="857">
        <v>0</v>
      </c>
      <c r="P118" s="857">
        <v>0</v>
      </c>
      <c r="Q118" s="857">
        <v>0</v>
      </c>
      <c r="R118" s="857">
        <v>0</v>
      </c>
      <c r="S118" s="857">
        <v>0</v>
      </c>
      <c r="T118" s="857">
        <v>0</v>
      </c>
      <c r="U118" s="857">
        <v>0</v>
      </c>
      <c r="V118" s="857">
        <v>0</v>
      </c>
      <c r="W118" s="857">
        <v>0</v>
      </c>
      <c r="X118" s="1010">
        <v>0.9751690644795582</v>
      </c>
    </row>
    <row r="119" spans="1:24" ht="31.5">
      <c r="A119" s="838" t="s">
        <v>2469</v>
      </c>
      <c r="B119" s="840" t="s">
        <v>2077</v>
      </c>
      <c r="C119" s="857">
        <v>56361.426274999998</v>
      </c>
      <c r="D119" s="857">
        <v>1918.077675</v>
      </c>
      <c r="E119" s="857">
        <v>36421.042000000001</v>
      </c>
      <c r="F119" s="857">
        <v>18022.3066</v>
      </c>
      <c r="G119" s="857">
        <v>54843.908006999998</v>
      </c>
      <c r="H119" s="857">
        <v>0</v>
      </c>
      <c r="I119" s="857">
        <v>0</v>
      </c>
      <c r="J119" s="857">
        <v>0</v>
      </c>
      <c r="K119" s="857">
        <v>0</v>
      </c>
      <c r="L119" s="857">
        <v>54843.908006999998</v>
      </c>
      <c r="M119" s="857">
        <v>0</v>
      </c>
      <c r="N119" s="857">
        <v>0</v>
      </c>
      <c r="O119" s="857">
        <v>0</v>
      </c>
      <c r="P119" s="857">
        <v>0</v>
      </c>
      <c r="Q119" s="857">
        <v>0</v>
      </c>
      <c r="R119" s="857">
        <v>0</v>
      </c>
      <c r="S119" s="857">
        <v>0</v>
      </c>
      <c r="T119" s="857">
        <v>0</v>
      </c>
      <c r="U119" s="857">
        <v>0</v>
      </c>
      <c r="V119" s="857">
        <v>0</v>
      </c>
      <c r="W119" s="857">
        <v>0</v>
      </c>
      <c r="X119" s="1010">
        <v>0.97307523303977994</v>
      </c>
    </row>
    <row r="120" spans="1:24">
      <c r="A120" s="838" t="s">
        <v>2469</v>
      </c>
      <c r="B120" s="840" t="s">
        <v>2078</v>
      </c>
      <c r="C120" s="857">
        <v>2969.2512000000002</v>
      </c>
      <c r="D120" s="857">
        <v>400</v>
      </c>
      <c r="E120" s="857">
        <v>819.66</v>
      </c>
      <c r="F120" s="857">
        <v>1749.5912000000001</v>
      </c>
      <c r="G120" s="857">
        <v>2959.08</v>
      </c>
      <c r="H120" s="857">
        <v>0</v>
      </c>
      <c r="I120" s="857">
        <v>0</v>
      </c>
      <c r="J120" s="857">
        <v>0</v>
      </c>
      <c r="K120" s="857">
        <v>0</v>
      </c>
      <c r="L120" s="857">
        <v>2959.08</v>
      </c>
      <c r="M120" s="857">
        <v>0</v>
      </c>
      <c r="N120" s="857">
        <v>0</v>
      </c>
      <c r="O120" s="857">
        <v>0</v>
      </c>
      <c r="P120" s="857">
        <v>0</v>
      </c>
      <c r="Q120" s="857">
        <v>0</v>
      </c>
      <c r="R120" s="857">
        <v>0</v>
      </c>
      <c r="S120" s="857">
        <v>0</v>
      </c>
      <c r="T120" s="857">
        <v>0</v>
      </c>
      <c r="U120" s="857">
        <v>0</v>
      </c>
      <c r="V120" s="857">
        <v>0</v>
      </c>
      <c r="W120" s="857">
        <v>0</v>
      </c>
      <c r="X120" s="1010">
        <v>0.99657448989159281</v>
      </c>
    </row>
    <row r="121" spans="1:24">
      <c r="A121" s="838" t="s">
        <v>2469</v>
      </c>
      <c r="B121" s="840" t="s">
        <v>2079</v>
      </c>
      <c r="C121" s="857">
        <v>19790.878000000001</v>
      </c>
      <c r="D121" s="857">
        <v>504.1</v>
      </c>
      <c r="E121" s="857">
        <v>9772.1560000000009</v>
      </c>
      <c r="F121" s="857">
        <v>9514.6219999999994</v>
      </c>
      <c r="G121" s="857">
        <v>19351.744999999999</v>
      </c>
      <c r="H121" s="857">
        <v>0</v>
      </c>
      <c r="I121" s="857">
        <v>0</v>
      </c>
      <c r="J121" s="857">
        <v>33.133000000000003</v>
      </c>
      <c r="K121" s="857">
        <v>0</v>
      </c>
      <c r="L121" s="857">
        <v>19318.612000000001</v>
      </c>
      <c r="M121" s="857">
        <v>0</v>
      </c>
      <c r="N121" s="857">
        <v>0</v>
      </c>
      <c r="O121" s="857">
        <v>0</v>
      </c>
      <c r="P121" s="857">
        <v>0</v>
      </c>
      <c r="Q121" s="857">
        <v>0</v>
      </c>
      <c r="R121" s="857">
        <v>0</v>
      </c>
      <c r="S121" s="857">
        <v>0</v>
      </c>
      <c r="T121" s="857">
        <v>0</v>
      </c>
      <c r="U121" s="857">
        <v>0</v>
      </c>
      <c r="V121" s="857">
        <v>0</v>
      </c>
      <c r="W121" s="857">
        <v>0</v>
      </c>
      <c r="X121" s="1010">
        <v>0.97781134318548169</v>
      </c>
    </row>
    <row r="122" spans="1:24" ht="31.5">
      <c r="A122" s="838" t="s">
        <v>2469</v>
      </c>
      <c r="B122" s="840" t="s">
        <v>2080</v>
      </c>
      <c r="C122" s="857">
        <v>5530.96</v>
      </c>
      <c r="D122" s="857">
        <v>0</v>
      </c>
      <c r="E122" s="857">
        <v>1911.8009999999999</v>
      </c>
      <c r="F122" s="857">
        <v>3619.1590000000001</v>
      </c>
      <c r="G122" s="857">
        <v>5530.96</v>
      </c>
      <c r="H122" s="857">
        <v>0</v>
      </c>
      <c r="I122" s="857">
        <v>0</v>
      </c>
      <c r="J122" s="857">
        <v>0</v>
      </c>
      <c r="K122" s="857">
        <v>0</v>
      </c>
      <c r="L122" s="857">
        <v>5530.96</v>
      </c>
      <c r="M122" s="857">
        <v>0</v>
      </c>
      <c r="N122" s="857">
        <v>0</v>
      </c>
      <c r="O122" s="857">
        <v>0</v>
      </c>
      <c r="P122" s="857">
        <v>0</v>
      </c>
      <c r="Q122" s="857">
        <v>0</v>
      </c>
      <c r="R122" s="857">
        <v>0</v>
      </c>
      <c r="S122" s="857">
        <v>0</v>
      </c>
      <c r="T122" s="857">
        <v>0</v>
      </c>
      <c r="U122" s="857">
        <v>0</v>
      </c>
      <c r="V122" s="857">
        <v>0</v>
      </c>
      <c r="W122" s="857">
        <v>0</v>
      </c>
      <c r="X122" s="1010">
        <v>1</v>
      </c>
    </row>
    <row r="123" spans="1:24" ht="31.5">
      <c r="A123" s="838" t="s">
        <v>2469</v>
      </c>
      <c r="B123" s="840" t="s">
        <v>2081</v>
      </c>
      <c r="C123" s="857">
        <v>1974.536908</v>
      </c>
      <c r="D123" s="857">
        <v>85.247</v>
      </c>
      <c r="E123" s="857">
        <v>516.73</v>
      </c>
      <c r="F123" s="857">
        <v>1372.559908</v>
      </c>
      <c r="G123" s="857">
        <v>1974.536908</v>
      </c>
      <c r="H123" s="857">
        <v>0</v>
      </c>
      <c r="I123" s="857">
        <v>0</v>
      </c>
      <c r="J123" s="857">
        <v>27.54</v>
      </c>
      <c r="K123" s="857">
        <v>0</v>
      </c>
      <c r="L123" s="857">
        <v>1946.9969080000001</v>
      </c>
      <c r="M123" s="857">
        <v>0</v>
      </c>
      <c r="N123" s="857">
        <v>0</v>
      </c>
      <c r="O123" s="857">
        <v>0</v>
      </c>
      <c r="P123" s="857">
        <v>0</v>
      </c>
      <c r="Q123" s="857">
        <v>0</v>
      </c>
      <c r="R123" s="857">
        <v>0</v>
      </c>
      <c r="S123" s="857">
        <v>0</v>
      </c>
      <c r="T123" s="857">
        <v>0</v>
      </c>
      <c r="U123" s="857">
        <v>0</v>
      </c>
      <c r="V123" s="857">
        <v>0</v>
      </c>
      <c r="W123" s="857">
        <v>0</v>
      </c>
      <c r="X123" s="1010">
        <v>1</v>
      </c>
    </row>
    <row r="124" spans="1:24" ht="31.5">
      <c r="A124" s="838" t="s">
        <v>2469</v>
      </c>
      <c r="B124" s="840" t="s">
        <v>2082</v>
      </c>
      <c r="C124" s="857">
        <v>854.78499999999997</v>
      </c>
      <c r="D124" s="857">
        <v>0</v>
      </c>
      <c r="E124" s="857">
        <v>628.93200000000002</v>
      </c>
      <c r="F124" s="857">
        <v>225.85300000000001</v>
      </c>
      <c r="G124" s="857">
        <v>554.78499999999997</v>
      </c>
      <c r="H124" s="857">
        <v>0</v>
      </c>
      <c r="I124" s="857">
        <v>0</v>
      </c>
      <c r="J124" s="857">
        <v>0</v>
      </c>
      <c r="K124" s="857">
        <v>0</v>
      </c>
      <c r="L124" s="857">
        <v>554.78499999999997</v>
      </c>
      <c r="M124" s="857">
        <v>0</v>
      </c>
      <c r="N124" s="857">
        <v>0</v>
      </c>
      <c r="O124" s="857">
        <v>0</v>
      </c>
      <c r="P124" s="857">
        <v>0</v>
      </c>
      <c r="Q124" s="857">
        <v>0</v>
      </c>
      <c r="R124" s="857">
        <v>0</v>
      </c>
      <c r="S124" s="857">
        <v>0</v>
      </c>
      <c r="T124" s="857">
        <v>0</v>
      </c>
      <c r="U124" s="857">
        <v>0</v>
      </c>
      <c r="V124" s="857">
        <v>0</v>
      </c>
      <c r="W124" s="857">
        <v>0</v>
      </c>
      <c r="X124" s="1010">
        <v>0.64903455254830156</v>
      </c>
    </row>
    <row r="125" spans="1:24">
      <c r="A125" s="838" t="s">
        <v>2469</v>
      </c>
      <c r="B125" s="840" t="s">
        <v>2068</v>
      </c>
      <c r="C125" s="857">
        <v>20902.044999999998</v>
      </c>
      <c r="D125" s="857">
        <v>13.282999999999999</v>
      </c>
      <c r="E125" s="857">
        <v>8804.4</v>
      </c>
      <c r="F125" s="857">
        <v>12084.361999999999</v>
      </c>
      <c r="G125" s="857">
        <v>8823.0450000000001</v>
      </c>
      <c r="H125" s="857">
        <v>0</v>
      </c>
      <c r="I125" s="857">
        <v>0</v>
      </c>
      <c r="J125" s="857">
        <v>282.12700000000001</v>
      </c>
      <c r="K125" s="857">
        <v>0</v>
      </c>
      <c r="L125" s="857">
        <v>3628.9180000000001</v>
      </c>
      <c r="M125" s="857">
        <v>0</v>
      </c>
      <c r="N125" s="857">
        <v>0</v>
      </c>
      <c r="O125" s="857">
        <v>0</v>
      </c>
      <c r="P125" s="857">
        <v>0</v>
      </c>
      <c r="Q125" s="857">
        <v>0</v>
      </c>
      <c r="R125" s="857">
        <v>0</v>
      </c>
      <c r="S125" s="857">
        <v>0</v>
      </c>
      <c r="T125" s="857">
        <v>0</v>
      </c>
      <c r="U125" s="857">
        <v>4912</v>
      </c>
      <c r="V125" s="857">
        <v>0</v>
      </c>
      <c r="W125" s="857">
        <v>0</v>
      </c>
      <c r="X125" s="1010">
        <v>0.42211396061964274</v>
      </c>
    </row>
    <row r="126" spans="1:24" ht="31.5">
      <c r="A126" s="838" t="s">
        <v>2469</v>
      </c>
      <c r="B126" s="840" t="s">
        <v>2083</v>
      </c>
      <c r="C126" s="857">
        <v>4654.0339999999997</v>
      </c>
      <c r="D126" s="857">
        <v>0</v>
      </c>
      <c r="E126" s="857">
        <v>5137.2939999999999</v>
      </c>
      <c r="F126" s="857">
        <v>-483.26</v>
      </c>
      <c r="G126" s="857">
        <v>4654.0339999999997</v>
      </c>
      <c r="H126" s="857">
        <v>0</v>
      </c>
      <c r="I126" s="857">
        <v>0</v>
      </c>
      <c r="J126" s="857">
        <v>0</v>
      </c>
      <c r="K126" s="857">
        <v>0</v>
      </c>
      <c r="L126" s="857">
        <v>4654.0339999999997</v>
      </c>
      <c r="M126" s="857">
        <v>0</v>
      </c>
      <c r="N126" s="857">
        <v>0</v>
      </c>
      <c r="O126" s="857">
        <v>0</v>
      </c>
      <c r="P126" s="857">
        <v>0</v>
      </c>
      <c r="Q126" s="857">
        <v>0</v>
      </c>
      <c r="R126" s="857">
        <v>0</v>
      </c>
      <c r="S126" s="857">
        <v>0</v>
      </c>
      <c r="T126" s="857">
        <v>0</v>
      </c>
      <c r="U126" s="857">
        <v>0</v>
      </c>
      <c r="V126" s="857">
        <v>0</v>
      </c>
      <c r="W126" s="857">
        <v>0</v>
      </c>
      <c r="X126" s="1010">
        <v>1</v>
      </c>
    </row>
    <row r="127" spans="1:24" ht="31.5">
      <c r="A127" s="838" t="s">
        <v>2469</v>
      </c>
      <c r="B127" s="840" t="s">
        <v>2084</v>
      </c>
      <c r="C127" s="857">
        <v>4825.3039099999996</v>
      </c>
      <c r="D127" s="857">
        <v>261.51315499999998</v>
      </c>
      <c r="E127" s="857">
        <v>2051.7449999999999</v>
      </c>
      <c r="F127" s="857">
        <v>2512.0457550000001</v>
      </c>
      <c r="G127" s="857">
        <v>4749.923847</v>
      </c>
      <c r="H127" s="857">
        <v>0</v>
      </c>
      <c r="I127" s="857">
        <v>0</v>
      </c>
      <c r="J127" s="857">
        <v>0</v>
      </c>
      <c r="K127" s="857">
        <v>0</v>
      </c>
      <c r="L127" s="857">
        <v>4749.923847</v>
      </c>
      <c r="M127" s="857">
        <v>0</v>
      </c>
      <c r="N127" s="857">
        <v>0</v>
      </c>
      <c r="O127" s="857">
        <v>0</v>
      </c>
      <c r="P127" s="857">
        <v>0</v>
      </c>
      <c r="Q127" s="857">
        <v>0</v>
      </c>
      <c r="R127" s="857">
        <v>0</v>
      </c>
      <c r="S127" s="857">
        <v>0</v>
      </c>
      <c r="T127" s="857">
        <v>0</v>
      </c>
      <c r="U127" s="857">
        <v>0</v>
      </c>
      <c r="V127" s="857">
        <v>0</v>
      </c>
      <c r="W127" s="857">
        <v>0</v>
      </c>
      <c r="X127" s="1010">
        <v>0.98437817298019692</v>
      </c>
    </row>
    <row r="128" spans="1:24" ht="31.5">
      <c r="A128" s="838" t="s">
        <v>2469</v>
      </c>
      <c r="B128" s="840" t="s">
        <v>2085</v>
      </c>
      <c r="C128" s="857">
        <v>3652.3339999999998</v>
      </c>
      <c r="D128" s="857">
        <v>0</v>
      </c>
      <c r="E128" s="857">
        <v>3199.5</v>
      </c>
      <c r="F128" s="857">
        <v>452.834</v>
      </c>
      <c r="G128" s="857">
        <v>3225.1910360000002</v>
      </c>
      <c r="H128" s="857">
        <v>0</v>
      </c>
      <c r="I128" s="857">
        <v>0</v>
      </c>
      <c r="J128" s="857">
        <v>0</v>
      </c>
      <c r="K128" s="857">
        <v>0</v>
      </c>
      <c r="L128" s="857">
        <v>1037.3570360000001</v>
      </c>
      <c r="M128" s="857">
        <v>0</v>
      </c>
      <c r="N128" s="857">
        <v>0</v>
      </c>
      <c r="O128" s="857">
        <v>0</v>
      </c>
      <c r="P128" s="857">
        <v>0</v>
      </c>
      <c r="Q128" s="857">
        <v>0</v>
      </c>
      <c r="R128" s="857">
        <v>0</v>
      </c>
      <c r="S128" s="857">
        <v>0</v>
      </c>
      <c r="T128" s="857">
        <v>0</v>
      </c>
      <c r="U128" s="857">
        <v>2187.8339999999998</v>
      </c>
      <c r="V128" s="857">
        <v>0</v>
      </c>
      <c r="W128" s="857">
        <v>0</v>
      </c>
      <c r="X128" s="1010">
        <v>0.88304931476694093</v>
      </c>
    </row>
    <row r="129" spans="1:24">
      <c r="A129" s="838" t="s">
        <v>2469</v>
      </c>
      <c r="B129" s="840" t="s">
        <v>2086</v>
      </c>
      <c r="C129" s="857">
        <v>41574.203930000003</v>
      </c>
      <c r="D129" s="857">
        <v>1238.6714300000001</v>
      </c>
      <c r="E129" s="857">
        <v>22488.830999999998</v>
      </c>
      <c r="F129" s="857">
        <v>17846.701499999999</v>
      </c>
      <c r="G129" s="857">
        <v>38204.99063</v>
      </c>
      <c r="H129" s="857">
        <v>0</v>
      </c>
      <c r="I129" s="857">
        <v>0</v>
      </c>
      <c r="J129" s="857">
        <v>39.856000000000002</v>
      </c>
      <c r="K129" s="857">
        <v>0</v>
      </c>
      <c r="L129" s="857">
        <v>38165.13463</v>
      </c>
      <c r="M129" s="857">
        <v>0</v>
      </c>
      <c r="N129" s="857">
        <v>0</v>
      </c>
      <c r="O129" s="857">
        <v>0</v>
      </c>
      <c r="P129" s="857">
        <v>0</v>
      </c>
      <c r="Q129" s="857">
        <v>0</v>
      </c>
      <c r="R129" s="857">
        <v>0</v>
      </c>
      <c r="S129" s="857">
        <v>0</v>
      </c>
      <c r="T129" s="857">
        <v>0</v>
      </c>
      <c r="U129" s="857">
        <v>0</v>
      </c>
      <c r="V129" s="857">
        <v>0</v>
      </c>
      <c r="W129" s="857">
        <v>0</v>
      </c>
      <c r="X129" s="1010">
        <v>0.91895904235056747</v>
      </c>
    </row>
    <row r="130" spans="1:24" ht="31.5">
      <c r="A130" s="838" t="s">
        <v>2469</v>
      </c>
      <c r="B130" s="840" t="s">
        <v>2087</v>
      </c>
      <c r="C130" s="857">
        <v>2455.7240999999999</v>
      </c>
      <c r="D130" s="857">
        <v>0</v>
      </c>
      <c r="E130" s="857">
        <v>2352.6</v>
      </c>
      <c r="F130" s="857">
        <v>103.1241</v>
      </c>
      <c r="G130" s="857">
        <v>2455.7240999999999</v>
      </c>
      <c r="H130" s="857">
        <v>0</v>
      </c>
      <c r="I130" s="857">
        <v>0</v>
      </c>
      <c r="J130" s="857">
        <v>0</v>
      </c>
      <c r="K130" s="857">
        <v>0</v>
      </c>
      <c r="L130" s="857">
        <v>185</v>
      </c>
      <c r="M130" s="857">
        <v>0</v>
      </c>
      <c r="N130" s="857">
        <v>0</v>
      </c>
      <c r="O130" s="857">
        <v>0</v>
      </c>
      <c r="P130" s="857">
        <v>0</v>
      </c>
      <c r="Q130" s="857">
        <v>0</v>
      </c>
      <c r="R130" s="857">
        <v>0</v>
      </c>
      <c r="S130" s="857">
        <v>0</v>
      </c>
      <c r="T130" s="857">
        <v>0</v>
      </c>
      <c r="U130" s="857">
        <v>2270.7240999999999</v>
      </c>
      <c r="V130" s="857">
        <v>0</v>
      </c>
      <c r="W130" s="857">
        <v>0</v>
      </c>
      <c r="X130" s="1010">
        <v>1</v>
      </c>
    </row>
    <row r="131" spans="1:24" ht="47.25">
      <c r="A131" s="838" t="s">
        <v>2469</v>
      </c>
      <c r="B131" s="840" t="s">
        <v>2088</v>
      </c>
      <c r="C131" s="857">
        <v>5373.0950000000003</v>
      </c>
      <c r="D131" s="857">
        <v>0</v>
      </c>
      <c r="E131" s="857">
        <v>100</v>
      </c>
      <c r="F131" s="857">
        <v>5273.0950000000003</v>
      </c>
      <c r="G131" s="857">
        <v>5368.9944139999998</v>
      </c>
      <c r="H131" s="857">
        <v>0</v>
      </c>
      <c r="I131" s="857">
        <v>0</v>
      </c>
      <c r="J131" s="857">
        <v>0</v>
      </c>
      <c r="K131" s="857">
        <v>0</v>
      </c>
      <c r="L131" s="857">
        <v>5368.9944139999998</v>
      </c>
      <c r="M131" s="857">
        <v>0</v>
      </c>
      <c r="N131" s="857">
        <v>0</v>
      </c>
      <c r="O131" s="857">
        <v>0</v>
      </c>
      <c r="P131" s="857">
        <v>0</v>
      </c>
      <c r="Q131" s="857">
        <v>0</v>
      </c>
      <c r="R131" s="857">
        <v>0</v>
      </c>
      <c r="S131" s="857">
        <v>0</v>
      </c>
      <c r="T131" s="857">
        <v>0</v>
      </c>
      <c r="U131" s="857">
        <v>0</v>
      </c>
      <c r="V131" s="857">
        <v>0</v>
      </c>
      <c r="W131" s="857">
        <v>0</v>
      </c>
      <c r="X131" s="1010">
        <v>0.9992368297973514</v>
      </c>
    </row>
    <row r="132" spans="1:24" ht="31.5">
      <c r="A132" s="838" t="s">
        <v>2469</v>
      </c>
      <c r="B132" s="840" t="s">
        <v>2089</v>
      </c>
      <c r="C132" s="857">
        <v>6847.6189999999997</v>
      </c>
      <c r="D132" s="857">
        <v>0</v>
      </c>
      <c r="E132" s="857">
        <v>2059</v>
      </c>
      <c r="F132" s="857">
        <v>4788.6189999999997</v>
      </c>
      <c r="G132" s="857">
        <v>6038.0284359999996</v>
      </c>
      <c r="H132" s="857">
        <v>0</v>
      </c>
      <c r="I132" s="857">
        <v>0</v>
      </c>
      <c r="J132" s="857">
        <v>3.5409999999999999</v>
      </c>
      <c r="K132" s="857">
        <v>0</v>
      </c>
      <c r="L132" s="857">
        <v>6034.4874360000003</v>
      </c>
      <c r="M132" s="857">
        <v>0</v>
      </c>
      <c r="N132" s="857">
        <v>0</v>
      </c>
      <c r="O132" s="857">
        <v>0</v>
      </c>
      <c r="P132" s="857">
        <v>0</v>
      </c>
      <c r="Q132" s="857">
        <v>0</v>
      </c>
      <c r="R132" s="857">
        <v>0</v>
      </c>
      <c r="S132" s="857">
        <v>0</v>
      </c>
      <c r="T132" s="857">
        <v>0</v>
      </c>
      <c r="U132" s="857">
        <v>0</v>
      </c>
      <c r="V132" s="857">
        <v>0</v>
      </c>
      <c r="W132" s="857">
        <v>0</v>
      </c>
      <c r="X132" s="1010">
        <v>0.88177050095807019</v>
      </c>
    </row>
    <row r="133" spans="1:24" ht="31.5">
      <c r="A133" s="838" t="s">
        <v>2469</v>
      </c>
      <c r="B133" s="840" t="s">
        <v>2090</v>
      </c>
      <c r="C133" s="857">
        <v>2407.52</v>
      </c>
      <c r="D133" s="857">
        <v>0</v>
      </c>
      <c r="E133" s="857">
        <v>-70.209999999999994</v>
      </c>
      <c r="F133" s="857">
        <v>2477.73</v>
      </c>
      <c r="G133" s="857">
        <v>2405.9609999999998</v>
      </c>
      <c r="H133" s="857">
        <v>0</v>
      </c>
      <c r="I133" s="857">
        <v>0</v>
      </c>
      <c r="J133" s="857">
        <v>0</v>
      </c>
      <c r="K133" s="857">
        <v>0</v>
      </c>
      <c r="L133" s="857">
        <v>2405.9609999999998</v>
      </c>
      <c r="M133" s="857">
        <v>0</v>
      </c>
      <c r="N133" s="857">
        <v>0</v>
      </c>
      <c r="O133" s="857">
        <v>0</v>
      </c>
      <c r="P133" s="857">
        <v>0</v>
      </c>
      <c r="Q133" s="857">
        <v>0</v>
      </c>
      <c r="R133" s="857">
        <v>0</v>
      </c>
      <c r="S133" s="857">
        <v>0</v>
      </c>
      <c r="T133" s="857">
        <v>0</v>
      </c>
      <c r="U133" s="857">
        <v>0</v>
      </c>
      <c r="V133" s="857">
        <v>0</v>
      </c>
      <c r="W133" s="857">
        <v>0</v>
      </c>
      <c r="X133" s="1010">
        <v>0.99935244567023318</v>
      </c>
    </row>
    <row r="134" spans="1:24" ht="31.5">
      <c r="A134" s="838" t="s">
        <v>2469</v>
      </c>
      <c r="B134" s="840" t="s">
        <v>2091</v>
      </c>
      <c r="C134" s="857">
        <v>13703.2066</v>
      </c>
      <c r="D134" s="857">
        <v>118.91500000000001</v>
      </c>
      <c r="E134" s="857">
        <v>5236.2430000000004</v>
      </c>
      <c r="F134" s="857">
        <v>8348.0486000000001</v>
      </c>
      <c r="G134" s="857">
        <v>13070.907184</v>
      </c>
      <c r="H134" s="857">
        <v>0</v>
      </c>
      <c r="I134" s="857">
        <v>0</v>
      </c>
      <c r="J134" s="857">
        <v>26.372399999999999</v>
      </c>
      <c r="K134" s="857">
        <v>0</v>
      </c>
      <c r="L134" s="857">
        <v>13044.534783999999</v>
      </c>
      <c r="M134" s="857">
        <v>0</v>
      </c>
      <c r="N134" s="857">
        <v>0</v>
      </c>
      <c r="O134" s="857">
        <v>0</v>
      </c>
      <c r="P134" s="857">
        <v>0</v>
      </c>
      <c r="Q134" s="857">
        <v>0</v>
      </c>
      <c r="R134" s="857">
        <v>0</v>
      </c>
      <c r="S134" s="857">
        <v>0</v>
      </c>
      <c r="T134" s="857">
        <v>0</v>
      </c>
      <c r="U134" s="857">
        <v>0</v>
      </c>
      <c r="V134" s="857">
        <v>0</v>
      </c>
      <c r="W134" s="857">
        <v>0</v>
      </c>
      <c r="X134" s="1010">
        <v>0.95385755798208571</v>
      </c>
    </row>
    <row r="135" spans="1:24" ht="31.5">
      <c r="A135" s="838" t="s">
        <v>2469</v>
      </c>
      <c r="B135" s="840" t="s">
        <v>2484</v>
      </c>
      <c r="C135" s="857">
        <v>8675.1520060000003</v>
      </c>
      <c r="D135" s="857">
        <v>0</v>
      </c>
      <c r="E135" s="857">
        <v>0</v>
      </c>
      <c r="F135" s="857">
        <v>8675.1520060000003</v>
      </c>
      <c r="G135" s="857">
        <v>8669.2443860000003</v>
      </c>
      <c r="H135" s="857">
        <v>0</v>
      </c>
      <c r="I135" s="857">
        <v>0</v>
      </c>
      <c r="J135" s="857">
        <v>0</v>
      </c>
      <c r="K135" s="857">
        <v>0</v>
      </c>
      <c r="L135" s="857">
        <v>8669.2443860000003</v>
      </c>
      <c r="M135" s="857">
        <v>0</v>
      </c>
      <c r="N135" s="857">
        <v>0</v>
      </c>
      <c r="O135" s="857">
        <v>0</v>
      </c>
      <c r="P135" s="857">
        <v>0</v>
      </c>
      <c r="Q135" s="857">
        <v>0</v>
      </c>
      <c r="R135" s="857">
        <v>0</v>
      </c>
      <c r="S135" s="857">
        <v>0</v>
      </c>
      <c r="T135" s="857">
        <v>0</v>
      </c>
      <c r="U135" s="857">
        <v>0</v>
      </c>
      <c r="V135" s="857">
        <v>0</v>
      </c>
      <c r="W135" s="857">
        <v>0</v>
      </c>
      <c r="X135" s="1010">
        <v>0.99931901827242753</v>
      </c>
    </row>
    <row r="136" spans="1:24" ht="63">
      <c r="A136" s="838" t="s">
        <v>2469</v>
      </c>
      <c r="B136" s="840" t="s">
        <v>2092</v>
      </c>
      <c r="C136" s="857">
        <v>460</v>
      </c>
      <c r="D136" s="857">
        <v>0</v>
      </c>
      <c r="E136" s="857">
        <v>0</v>
      </c>
      <c r="F136" s="857">
        <v>460</v>
      </c>
      <c r="G136" s="857">
        <v>441.278188</v>
      </c>
      <c r="H136" s="857">
        <v>0</v>
      </c>
      <c r="I136" s="857">
        <v>0</v>
      </c>
      <c r="J136" s="857">
        <v>0</v>
      </c>
      <c r="K136" s="857">
        <v>0</v>
      </c>
      <c r="L136" s="857">
        <v>0</v>
      </c>
      <c r="M136" s="857">
        <v>0</v>
      </c>
      <c r="N136" s="857">
        <v>0</v>
      </c>
      <c r="O136" s="857">
        <v>0</v>
      </c>
      <c r="P136" s="857">
        <v>0</v>
      </c>
      <c r="Q136" s="857">
        <v>441.278188</v>
      </c>
      <c r="R136" s="857">
        <v>0</v>
      </c>
      <c r="S136" s="857">
        <v>0</v>
      </c>
      <c r="T136" s="857">
        <v>441.278188</v>
      </c>
      <c r="U136" s="857">
        <v>0</v>
      </c>
      <c r="V136" s="857">
        <v>0</v>
      </c>
      <c r="W136" s="857">
        <v>0</v>
      </c>
      <c r="X136" s="1010">
        <v>0.95930040869565214</v>
      </c>
    </row>
    <row r="137" spans="1:24">
      <c r="A137" s="838" t="s">
        <v>1985</v>
      </c>
      <c r="B137" s="840" t="s">
        <v>2250</v>
      </c>
      <c r="C137" s="857">
        <v>36569.47</v>
      </c>
      <c r="D137" s="857">
        <v>110.38200000000001</v>
      </c>
      <c r="E137" s="857">
        <v>20273.679</v>
      </c>
      <c r="F137" s="857">
        <v>16185.409</v>
      </c>
      <c r="G137" s="857">
        <v>35666.057409000001</v>
      </c>
      <c r="H137" s="857">
        <v>20.48</v>
      </c>
      <c r="I137" s="857">
        <v>0</v>
      </c>
      <c r="J137" s="857">
        <v>0</v>
      </c>
      <c r="K137" s="857">
        <v>0</v>
      </c>
      <c r="L137" s="857">
        <v>0</v>
      </c>
      <c r="M137" s="857">
        <v>0</v>
      </c>
      <c r="N137" s="857">
        <v>0</v>
      </c>
      <c r="O137" s="857">
        <v>0</v>
      </c>
      <c r="P137" s="857">
        <v>0</v>
      </c>
      <c r="Q137" s="857">
        <v>0</v>
      </c>
      <c r="R137" s="857">
        <v>0</v>
      </c>
      <c r="S137" s="857">
        <v>0</v>
      </c>
      <c r="T137" s="857">
        <v>0</v>
      </c>
      <c r="U137" s="857">
        <v>6507.5397999999996</v>
      </c>
      <c r="V137" s="857">
        <v>28486.588608999999</v>
      </c>
      <c r="W137" s="857">
        <v>651.44899999999996</v>
      </c>
      <c r="X137" s="1010">
        <v>0.97529598894925196</v>
      </c>
    </row>
    <row r="138" spans="1:24" ht="31.5">
      <c r="A138" s="838" t="s">
        <v>2469</v>
      </c>
      <c r="B138" s="839" t="s">
        <v>2094</v>
      </c>
      <c r="C138" s="857">
        <v>199.9</v>
      </c>
      <c r="D138" s="857">
        <v>0</v>
      </c>
      <c r="E138" s="857">
        <v>199.9</v>
      </c>
      <c r="F138" s="857">
        <v>0</v>
      </c>
      <c r="G138" s="857">
        <v>199.9</v>
      </c>
      <c r="H138" s="857">
        <v>0</v>
      </c>
      <c r="I138" s="857">
        <v>0</v>
      </c>
      <c r="J138" s="857">
        <v>0</v>
      </c>
      <c r="K138" s="857">
        <v>0</v>
      </c>
      <c r="L138" s="857">
        <v>0</v>
      </c>
      <c r="M138" s="857">
        <v>0</v>
      </c>
      <c r="N138" s="857">
        <v>0</v>
      </c>
      <c r="O138" s="857">
        <v>0</v>
      </c>
      <c r="P138" s="857">
        <v>0</v>
      </c>
      <c r="Q138" s="857">
        <v>0</v>
      </c>
      <c r="R138" s="857">
        <v>0</v>
      </c>
      <c r="S138" s="857">
        <v>0</v>
      </c>
      <c r="T138" s="857">
        <v>0</v>
      </c>
      <c r="U138" s="857">
        <v>0</v>
      </c>
      <c r="V138" s="857">
        <v>199.9</v>
      </c>
      <c r="W138" s="857">
        <v>0</v>
      </c>
      <c r="X138" s="1010">
        <v>1</v>
      </c>
    </row>
    <row r="139" spans="1:24" ht="31.5">
      <c r="A139" s="838" t="s">
        <v>2469</v>
      </c>
      <c r="B139" s="840" t="s">
        <v>2095</v>
      </c>
      <c r="C139" s="857">
        <v>420.9</v>
      </c>
      <c r="D139" s="857">
        <v>0</v>
      </c>
      <c r="E139" s="857">
        <v>420.9</v>
      </c>
      <c r="F139" s="857">
        <v>0</v>
      </c>
      <c r="G139" s="857">
        <v>420.9</v>
      </c>
      <c r="H139" s="857">
        <v>0</v>
      </c>
      <c r="I139" s="857">
        <v>0</v>
      </c>
      <c r="J139" s="857">
        <v>0</v>
      </c>
      <c r="K139" s="857">
        <v>0</v>
      </c>
      <c r="L139" s="857">
        <v>0</v>
      </c>
      <c r="M139" s="857">
        <v>0</v>
      </c>
      <c r="N139" s="857">
        <v>0</v>
      </c>
      <c r="O139" s="857">
        <v>0</v>
      </c>
      <c r="P139" s="857">
        <v>0</v>
      </c>
      <c r="Q139" s="857">
        <v>0</v>
      </c>
      <c r="R139" s="857">
        <v>0</v>
      </c>
      <c r="S139" s="857">
        <v>0</v>
      </c>
      <c r="T139" s="857">
        <v>0</v>
      </c>
      <c r="U139" s="857">
        <v>0</v>
      </c>
      <c r="V139" s="857">
        <v>420.9</v>
      </c>
      <c r="W139" s="857">
        <v>0</v>
      </c>
      <c r="X139" s="1010">
        <v>1</v>
      </c>
    </row>
    <row r="140" spans="1:24" ht="31.5">
      <c r="A140" s="838" t="s">
        <v>2469</v>
      </c>
      <c r="B140" s="840" t="s">
        <v>2096</v>
      </c>
      <c r="C140" s="857">
        <v>543.79999999999995</v>
      </c>
      <c r="D140" s="857">
        <v>0</v>
      </c>
      <c r="E140" s="857">
        <v>499.1</v>
      </c>
      <c r="F140" s="857">
        <v>44.7</v>
      </c>
      <c r="G140" s="857">
        <v>543.79999999999995</v>
      </c>
      <c r="H140" s="857">
        <v>0</v>
      </c>
      <c r="I140" s="857">
        <v>0</v>
      </c>
      <c r="J140" s="857">
        <v>0</v>
      </c>
      <c r="K140" s="857">
        <v>0</v>
      </c>
      <c r="L140" s="857">
        <v>0</v>
      </c>
      <c r="M140" s="857">
        <v>0</v>
      </c>
      <c r="N140" s="857">
        <v>0</v>
      </c>
      <c r="O140" s="857">
        <v>0</v>
      </c>
      <c r="P140" s="857">
        <v>0</v>
      </c>
      <c r="Q140" s="857">
        <v>0</v>
      </c>
      <c r="R140" s="857">
        <v>0</v>
      </c>
      <c r="S140" s="857">
        <v>0</v>
      </c>
      <c r="T140" s="857">
        <v>0</v>
      </c>
      <c r="U140" s="857">
        <v>0</v>
      </c>
      <c r="V140" s="857">
        <v>543.79999999999995</v>
      </c>
      <c r="W140" s="857">
        <v>0</v>
      </c>
      <c r="X140" s="1010">
        <v>1</v>
      </c>
    </row>
    <row r="141" spans="1:24" ht="31.5">
      <c r="A141" s="838" t="s">
        <v>2469</v>
      </c>
      <c r="B141" s="840" t="s">
        <v>2097</v>
      </c>
      <c r="C141" s="857">
        <v>275</v>
      </c>
      <c r="D141" s="857">
        <v>0</v>
      </c>
      <c r="E141" s="857">
        <v>275</v>
      </c>
      <c r="F141" s="857">
        <v>0</v>
      </c>
      <c r="G141" s="857">
        <v>275</v>
      </c>
      <c r="H141" s="857">
        <v>0</v>
      </c>
      <c r="I141" s="857">
        <v>0</v>
      </c>
      <c r="J141" s="857">
        <v>0</v>
      </c>
      <c r="K141" s="857">
        <v>0</v>
      </c>
      <c r="L141" s="857">
        <v>0</v>
      </c>
      <c r="M141" s="857">
        <v>0</v>
      </c>
      <c r="N141" s="857">
        <v>0</v>
      </c>
      <c r="O141" s="857">
        <v>0</v>
      </c>
      <c r="P141" s="857">
        <v>0</v>
      </c>
      <c r="Q141" s="857">
        <v>0</v>
      </c>
      <c r="R141" s="857">
        <v>0</v>
      </c>
      <c r="S141" s="857">
        <v>0</v>
      </c>
      <c r="T141" s="857">
        <v>0</v>
      </c>
      <c r="U141" s="857">
        <v>0</v>
      </c>
      <c r="V141" s="857">
        <v>275</v>
      </c>
      <c r="W141" s="857">
        <v>0</v>
      </c>
      <c r="X141" s="1010">
        <v>1</v>
      </c>
    </row>
    <row r="142" spans="1:24" ht="31.5">
      <c r="A142" s="838" t="s">
        <v>2469</v>
      </c>
      <c r="B142" s="840" t="s">
        <v>2098</v>
      </c>
      <c r="C142" s="857">
        <v>725.7</v>
      </c>
      <c r="D142" s="857">
        <v>0</v>
      </c>
      <c r="E142" s="857">
        <v>725.7</v>
      </c>
      <c r="F142" s="857">
        <v>0</v>
      </c>
      <c r="G142" s="857">
        <v>725.7</v>
      </c>
      <c r="H142" s="857">
        <v>0</v>
      </c>
      <c r="I142" s="857">
        <v>0</v>
      </c>
      <c r="J142" s="857">
        <v>0</v>
      </c>
      <c r="K142" s="857">
        <v>0</v>
      </c>
      <c r="L142" s="857">
        <v>0</v>
      </c>
      <c r="M142" s="857">
        <v>0</v>
      </c>
      <c r="N142" s="857">
        <v>0</v>
      </c>
      <c r="O142" s="857">
        <v>0</v>
      </c>
      <c r="P142" s="857">
        <v>0</v>
      </c>
      <c r="Q142" s="857">
        <v>0</v>
      </c>
      <c r="R142" s="857">
        <v>0</v>
      </c>
      <c r="S142" s="857">
        <v>0</v>
      </c>
      <c r="T142" s="857">
        <v>0</v>
      </c>
      <c r="U142" s="857">
        <v>0</v>
      </c>
      <c r="V142" s="857">
        <v>725.7</v>
      </c>
      <c r="W142" s="857">
        <v>0</v>
      </c>
      <c r="X142" s="1010">
        <v>1</v>
      </c>
    </row>
    <row r="143" spans="1:24" ht="31.5">
      <c r="A143" s="838" t="s">
        <v>2469</v>
      </c>
      <c r="B143" s="840" t="s">
        <v>2099</v>
      </c>
      <c r="C143" s="857">
        <v>6379.6570000000002</v>
      </c>
      <c r="D143" s="857">
        <v>0</v>
      </c>
      <c r="E143" s="857">
        <v>3076</v>
      </c>
      <c r="F143" s="857">
        <v>3303.6570000000002</v>
      </c>
      <c r="G143" s="857">
        <v>6237.9353440000004</v>
      </c>
      <c r="H143" s="857">
        <v>0</v>
      </c>
      <c r="I143" s="857">
        <v>0</v>
      </c>
      <c r="J143" s="857">
        <v>0</v>
      </c>
      <c r="K143" s="857">
        <v>0</v>
      </c>
      <c r="L143" s="857">
        <v>0</v>
      </c>
      <c r="M143" s="857">
        <v>0</v>
      </c>
      <c r="N143" s="857">
        <v>0</v>
      </c>
      <c r="O143" s="857">
        <v>0</v>
      </c>
      <c r="P143" s="857">
        <v>0</v>
      </c>
      <c r="Q143" s="857">
        <v>0</v>
      </c>
      <c r="R143" s="857">
        <v>0</v>
      </c>
      <c r="S143" s="857">
        <v>0</v>
      </c>
      <c r="T143" s="857">
        <v>0</v>
      </c>
      <c r="U143" s="857">
        <v>0</v>
      </c>
      <c r="V143" s="857">
        <v>6237.9353440000004</v>
      </c>
      <c r="W143" s="857">
        <v>0</v>
      </c>
      <c r="X143" s="1010">
        <v>0.9777853799977021</v>
      </c>
    </row>
    <row r="144" spans="1:24" ht="31.5">
      <c r="A144" s="838" t="s">
        <v>2469</v>
      </c>
      <c r="B144" s="840" t="s">
        <v>2251</v>
      </c>
      <c r="C144" s="857">
        <v>29.8</v>
      </c>
      <c r="D144" s="857">
        <v>0</v>
      </c>
      <c r="E144" s="857">
        <v>29.8</v>
      </c>
      <c r="F144" s="857">
        <v>0</v>
      </c>
      <c r="G144" s="857">
        <v>29.8</v>
      </c>
      <c r="H144" s="857">
        <v>0</v>
      </c>
      <c r="I144" s="857">
        <v>0</v>
      </c>
      <c r="J144" s="857">
        <v>0</v>
      </c>
      <c r="K144" s="857">
        <v>0</v>
      </c>
      <c r="L144" s="857">
        <v>0</v>
      </c>
      <c r="M144" s="857">
        <v>0</v>
      </c>
      <c r="N144" s="857">
        <v>0</v>
      </c>
      <c r="O144" s="857">
        <v>0</v>
      </c>
      <c r="P144" s="857">
        <v>0</v>
      </c>
      <c r="Q144" s="857">
        <v>0</v>
      </c>
      <c r="R144" s="857">
        <v>0</v>
      </c>
      <c r="S144" s="857">
        <v>0</v>
      </c>
      <c r="T144" s="857">
        <v>0</v>
      </c>
      <c r="U144" s="857">
        <v>0</v>
      </c>
      <c r="V144" s="857">
        <v>29.8</v>
      </c>
      <c r="W144" s="857">
        <v>0</v>
      </c>
      <c r="X144" s="1010">
        <v>1</v>
      </c>
    </row>
    <row r="145" spans="1:24" ht="31.5">
      <c r="A145" s="838" t="s">
        <v>2469</v>
      </c>
      <c r="B145" s="840" t="s">
        <v>2100</v>
      </c>
      <c r="C145" s="857">
        <v>4296.5190000000002</v>
      </c>
      <c r="D145" s="857">
        <v>0</v>
      </c>
      <c r="E145" s="857">
        <v>1794.2080000000001</v>
      </c>
      <c r="F145" s="857">
        <v>2502.3110000000001</v>
      </c>
      <c r="G145" s="857">
        <v>4161.3280000000004</v>
      </c>
      <c r="H145" s="857">
        <v>0</v>
      </c>
      <c r="I145" s="857">
        <v>0</v>
      </c>
      <c r="J145" s="857">
        <v>0</v>
      </c>
      <c r="K145" s="857">
        <v>0</v>
      </c>
      <c r="L145" s="857">
        <v>0</v>
      </c>
      <c r="M145" s="857">
        <v>0</v>
      </c>
      <c r="N145" s="857">
        <v>0</v>
      </c>
      <c r="O145" s="857">
        <v>0</v>
      </c>
      <c r="P145" s="857">
        <v>0</v>
      </c>
      <c r="Q145" s="857">
        <v>0</v>
      </c>
      <c r="R145" s="857">
        <v>0</v>
      </c>
      <c r="S145" s="857">
        <v>0</v>
      </c>
      <c r="T145" s="857">
        <v>0</v>
      </c>
      <c r="U145" s="857">
        <v>0</v>
      </c>
      <c r="V145" s="857">
        <v>4161.3280000000004</v>
      </c>
      <c r="W145" s="857">
        <v>0</v>
      </c>
      <c r="X145" s="1010">
        <v>0.96853476034901742</v>
      </c>
    </row>
    <row r="146" spans="1:24" ht="31.5">
      <c r="A146" s="838" t="s">
        <v>2469</v>
      </c>
      <c r="B146" s="840" t="s">
        <v>2101</v>
      </c>
      <c r="C146" s="857">
        <v>962</v>
      </c>
      <c r="D146" s="857">
        <v>0</v>
      </c>
      <c r="E146" s="857">
        <v>0</v>
      </c>
      <c r="F146" s="857">
        <v>962</v>
      </c>
      <c r="G146" s="857">
        <v>962</v>
      </c>
      <c r="H146" s="857">
        <v>0</v>
      </c>
      <c r="I146" s="857">
        <v>0</v>
      </c>
      <c r="J146" s="857">
        <v>0</v>
      </c>
      <c r="K146" s="857">
        <v>0</v>
      </c>
      <c r="L146" s="857">
        <v>0</v>
      </c>
      <c r="M146" s="857">
        <v>0</v>
      </c>
      <c r="N146" s="857">
        <v>0</v>
      </c>
      <c r="O146" s="857">
        <v>0</v>
      </c>
      <c r="P146" s="857">
        <v>0</v>
      </c>
      <c r="Q146" s="857">
        <v>0</v>
      </c>
      <c r="R146" s="857">
        <v>0</v>
      </c>
      <c r="S146" s="857">
        <v>0</v>
      </c>
      <c r="T146" s="857">
        <v>0</v>
      </c>
      <c r="U146" s="857">
        <v>0</v>
      </c>
      <c r="V146" s="857">
        <v>962</v>
      </c>
      <c r="W146" s="857">
        <v>0</v>
      </c>
      <c r="X146" s="1010">
        <v>1</v>
      </c>
    </row>
    <row r="147" spans="1:24" ht="31.5">
      <c r="A147" s="838" t="s">
        <v>2469</v>
      </c>
      <c r="B147" s="840" t="s">
        <v>2093</v>
      </c>
      <c r="C147" s="857">
        <v>11197.736000000001</v>
      </c>
      <c r="D147" s="857">
        <v>110.38200000000001</v>
      </c>
      <c r="E147" s="857">
        <v>9280.1029999999992</v>
      </c>
      <c r="F147" s="857">
        <v>1807.251</v>
      </c>
      <c r="G147" s="857">
        <v>10665.094800000001</v>
      </c>
      <c r="H147" s="857">
        <v>20.48</v>
      </c>
      <c r="I147" s="857">
        <v>0</v>
      </c>
      <c r="J147" s="857">
        <v>0</v>
      </c>
      <c r="K147" s="857">
        <v>0</v>
      </c>
      <c r="L147" s="857">
        <v>0</v>
      </c>
      <c r="M147" s="857">
        <v>0</v>
      </c>
      <c r="N147" s="857">
        <v>0</v>
      </c>
      <c r="O147" s="857">
        <v>0</v>
      </c>
      <c r="P147" s="857">
        <v>0</v>
      </c>
      <c r="Q147" s="857">
        <v>0</v>
      </c>
      <c r="R147" s="857">
        <v>0</v>
      </c>
      <c r="S147" s="857">
        <v>0</v>
      </c>
      <c r="T147" s="857">
        <v>0</v>
      </c>
      <c r="U147" s="857">
        <v>6507.5397999999996</v>
      </c>
      <c r="V147" s="857">
        <v>3485.6260000000002</v>
      </c>
      <c r="W147" s="857">
        <v>651.44899999999996</v>
      </c>
      <c r="X147" s="1010">
        <v>0.95243313469794255</v>
      </c>
    </row>
    <row r="148" spans="1:24" ht="31.5">
      <c r="A148" s="838" t="s">
        <v>2469</v>
      </c>
      <c r="B148" s="840" t="s">
        <v>2102</v>
      </c>
      <c r="C148" s="857">
        <v>122.3</v>
      </c>
      <c r="D148" s="857">
        <v>0</v>
      </c>
      <c r="E148" s="857">
        <v>92.5</v>
      </c>
      <c r="F148" s="857">
        <v>29.8</v>
      </c>
      <c r="G148" s="857">
        <v>122.3</v>
      </c>
      <c r="H148" s="857">
        <v>0</v>
      </c>
      <c r="I148" s="857">
        <v>0</v>
      </c>
      <c r="J148" s="857">
        <v>0</v>
      </c>
      <c r="K148" s="857">
        <v>0</v>
      </c>
      <c r="L148" s="857">
        <v>0</v>
      </c>
      <c r="M148" s="857">
        <v>0</v>
      </c>
      <c r="N148" s="857">
        <v>0</v>
      </c>
      <c r="O148" s="857">
        <v>0</v>
      </c>
      <c r="P148" s="857">
        <v>0</v>
      </c>
      <c r="Q148" s="857">
        <v>0</v>
      </c>
      <c r="R148" s="857">
        <v>0</v>
      </c>
      <c r="S148" s="857">
        <v>0</v>
      </c>
      <c r="T148" s="857">
        <v>0</v>
      </c>
      <c r="U148" s="857">
        <v>0</v>
      </c>
      <c r="V148" s="857">
        <v>122.3</v>
      </c>
      <c r="W148" s="857">
        <v>0</v>
      </c>
      <c r="X148" s="1010">
        <v>1</v>
      </c>
    </row>
    <row r="149" spans="1:24" ht="31.5">
      <c r="A149" s="838" t="s">
        <v>2469</v>
      </c>
      <c r="B149" s="840" t="s">
        <v>2103</v>
      </c>
      <c r="C149" s="857">
        <v>170.1</v>
      </c>
      <c r="D149" s="857">
        <v>0</v>
      </c>
      <c r="E149" s="857">
        <v>170.1</v>
      </c>
      <c r="F149" s="857">
        <v>0</v>
      </c>
      <c r="G149" s="857">
        <v>170.1</v>
      </c>
      <c r="H149" s="857">
        <v>0</v>
      </c>
      <c r="I149" s="857">
        <v>0</v>
      </c>
      <c r="J149" s="857">
        <v>0</v>
      </c>
      <c r="K149" s="857">
        <v>0</v>
      </c>
      <c r="L149" s="857">
        <v>0</v>
      </c>
      <c r="M149" s="857">
        <v>0</v>
      </c>
      <c r="N149" s="857">
        <v>0</v>
      </c>
      <c r="O149" s="857">
        <v>0</v>
      </c>
      <c r="P149" s="857">
        <v>0</v>
      </c>
      <c r="Q149" s="857">
        <v>0</v>
      </c>
      <c r="R149" s="857">
        <v>0</v>
      </c>
      <c r="S149" s="857">
        <v>0</v>
      </c>
      <c r="T149" s="857">
        <v>0</v>
      </c>
      <c r="U149" s="857">
        <v>0</v>
      </c>
      <c r="V149" s="857">
        <v>170.1</v>
      </c>
      <c r="W149" s="857">
        <v>0</v>
      </c>
      <c r="X149" s="1010">
        <v>1</v>
      </c>
    </row>
    <row r="150" spans="1:24" ht="31.5">
      <c r="A150" s="838" t="s">
        <v>2469</v>
      </c>
      <c r="B150" s="840" t="s">
        <v>2104</v>
      </c>
      <c r="C150" s="857">
        <v>11246.058000000001</v>
      </c>
      <c r="D150" s="857">
        <v>0</v>
      </c>
      <c r="E150" s="857">
        <v>3710.3679999999999</v>
      </c>
      <c r="F150" s="857">
        <v>7535.69</v>
      </c>
      <c r="G150" s="857">
        <v>11152.199264999999</v>
      </c>
      <c r="H150" s="857">
        <v>0</v>
      </c>
      <c r="I150" s="857">
        <v>0</v>
      </c>
      <c r="J150" s="857">
        <v>0</v>
      </c>
      <c r="K150" s="857">
        <v>0</v>
      </c>
      <c r="L150" s="857">
        <v>0</v>
      </c>
      <c r="M150" s="857">
        <v>0</v>
      </c>
      <c r="N150" s="857">
        <v>0</v>
      </c>
      <c r="O150" s="857">
        <v>0</v>
      </c>
      <c r="P150" s="857">
        <v>0</v>
      </c>
      <c r="Q150" s="857">
        <v>0</v>
      </c>
      <c r="R150" s="857">
        <v>0</v>
      </c>
      <c r="S150" s="857">
        <v>0</v>
      </c>
      <c r="T150" s="857">
        <v>0</v>
      </c>
      <c r="U150" s="857">
        <v>0</v>
      </c>
      <c r="V150" s="857">
        <v>11152.199264999999</v>
      </c>
      <c r="W150" s="857">
        <v>0</v>
      </c>
      <c r="X150" s="1010">
        <v>0.99165407692188667</v>
      </c>
    </row>
    <row r="151" spans="1:24">
      <c r="A151" s="838" t="s">
        <v>1986</v>
      </c>
      <c r="B151" s="840" t="s">
        <v>2252</v>
      </c>
      <c r="C151" s="857">
        <v>53124.861376000001</v>
      </c>
      <c r="D151" s="857">
        <v>698.11300000000006</v>
      </c>
      <c r="E151" s="857">
        <v>28050.248</v>
      </c>
      <c r="F151" s="857">
        <v>24376.500376</v>
      </c>
      <c r="G151" s="857">
        <v>48616.180955999997</v>
      </c>
      <c r="H151" s="857">
        <v>10161.169900000001</v>
      </c>
      <c r="I151" s="857">
        <v>0</v>
      </c>
      <c r="J151" s="857">
        <v>0</v>
      </c>
      <c r="K151" s="857">
        <v>0</v>
      </c>
      <c r="L151" s="857">
        <v>0</v>
      </c>
      <c r="M151" s="857">
        <v>23400.426356</v>
      </c>
      <c r="N151" s="857">
        <v>0</v>
      </c>
      <c r="O151" s="857">
        <v>3664.3179</v>
      </c>
      <c r="P151" s="857">
        <v>0</v>
      </c>
      <c r="Q151" s="857">
        <v>1018.9926</v>
      </c>
      <c r="R151" s="857">
        <v>0</v>
      </c>
      <c r="S151" s="857">
        <v>0</v>
      </c>
      <c r="T151" s="857">
        <v>1018.9926</v>
      </c>
      <c r="U151" s="857">
        <v>6076.0061999999998</v>
      </c>
      <c r="V151" s="857">
        <v>0</v>
      </c>
      <c r="W151" s="857">
        <v>4295.268</v>
      </c>
      <c r="X151" s="1010">
        <v>0.91513050004800822</v>
      </c>
    </row>
    <row r="152" spans="1:24" ht="31.5">
      <c r="A152" s="838" t="s">
        <v>2469</v>
      </c>
      <c r="B152" s="839" t="s">
        <v>2106</v>
      </c>
      <c r="C152" s="857">
        <v>13563.423000000001</v>
      </c>
      <c r="D152" s="857">
        <v>198.113</v>
      </c>
      <c r="E152" s="857">
        <v>11109.31</v>
      </c>
      <c r="F152" s="857">
        <v>2256</v>
      </c>
      <c r="G152" s="857">
        <v>12993.531000000001</v>
      </c>
      <c r="H152" s="857">
        <v>10090.4269</v>
      </c>
      <c r="I152" s="857">
        <v>0</v>
      </c>
      <c r="J152" s="857">
        <v>0</v>
      </c>
      <c r="K152" s="857">
        <v>0</v>
      </c>
      <c r="L152" s="857">
        <v>0</v>
      </c>
      <c r="M152" s="857">
        <v>0</v>
      </c>
      <c r="N152" s="857">
        <v>0</v>
      </c>
      <c r="O152" s="857">
        <v>2704.9911000000002</v>
      </c>
      <c r="P152" s="857">
        <v>0</v>
      </c>
      <c r="Q152" s="857">
        <v>0</v>
      </c>
      <c r="R152" s="857">
        <v>0</v>
      </c>
      <c r="S152" s="857">
        <v>0</v>
      </c>
      <c r="T152" s="857">
        <v>0</v>
      </c>
      <c r="U152" s="857">
        <v>0</v>
      </c>
      <c r="V152" s="857">
        <v>0</v>
      </c>
      <c r="W152" s="857">
        <v>198.113</v>
      </c>
      <c r="X152" s="1010">
        <v>0.95798317283181389</v>
      </c>
    </row>
    <row r="153" spans="1:24" ht="31.5">
      <c r="A153" s="838" t="s">
        <v>2469</v>
      </c>
      <c r="B153" s="840" t="s">
        <v>2105</v>
      </c>
      <c r="C153" s="857">
        <v>12165.005999999999</v>
      </c>
      <c r="D153" s="857">
        <v>0</v>
      </c>
      <c r="E153" s="857">
        <v>9389.69</v>
      </c>
      <c r="F153" s="857">
        <v>2775.3159999999998</v>
      </c>
      <c r="G153" s="857">
        <v>10032.009599999999</v>
      </c>
      <c r="H153" s="857">
        <v>70.742999999999995</v>
      </c>
      <c r="I153" s="857">
        <v>0</v>
      </c>
      <c r="J153" s="857">
        <v>0</v>
      </c>
      <c r="K153" s="857">
        <v>0</v>
      </c>
      <c r="L153" s="857">
        <v>0</v>
      </c>
      <c r="M153" s="857">
        <v>1906.941</v>
      </c>
      <c r="N153" s="857">
        <v>0</v>
      </c>
      <c r="O153" s="857">
        <v>959.32680000000005</v>
      </c>
      <c r="P153" s="857">
        <v>0</v>
      </c>
      <c r="Q153" s="857">
        <v>1018.9926</v>
      </c>
      <c r="R153" s="857">
        <v>0</v>
      </c>
      <c r="S153" s="857">
        <v>0</v>
      </c>
      <c r="T153" s="857">
        <v>1018.9926</v>
      </c>
      <c r="U153" s="857">
        <v>6076.0061999999998</v>
      </c>
      <c r="V153" s="857">
        <v>0</v>
      </c>
      <c r="W153" s="857">
        <v>0</v>
      </c>
      <c r="X153" s="1010">
        <v>0.82466129486495932</v>
      </c>
    </row>
    <row r="154" spans="1:24" ht="31.5">
      <c r="A154" s="838" t="s">
        <v>2469</v>
      </c>
      <c r="B154" s="840" t="s">
        <v>2107</v>
      </c>
      <c r="C154" s="857">
        <v>7461.5690000000004</v>
      </c>
      <c r="D154" s="857">
        <v>500</v>
      </c>
      <c r="E154" s="857">
        <v>1420.8679999999999</v>
      </c>
      <c r="F154" s="857">
        <v>5540.701</v>
      </c>
      <c r="G154" s="857">
        <v>7319.4058000000005</v>
      </c>
      <c r="H154" s="857">
        <v>0</v>
      </c>
      <c r="I154" s="857">
        <v>0</v>
      </c>
      <c r="J154" s="857">
        <v>0</v>
      </c>
      <c r="K154" s="857">
        <v>0</v>
      </c>
      <c r="L154" s="857">
        <v>0</v>
      </c>
      <c r="M154" s="857">
        <v>5043.4058000000005</v>
      </c>
      <c r="N154" s="857">
        <v>0</v>
      </c>
      <c r="O154" s="857">
        <v>0</v>
      </c>
      <c r="P154" s="857">
        <v>0</v>
      </c>
      <c r="Q154" s="857">
        <v>0</v>
      </c>
      <c r="R154" s="857">
        <v>0</v>
      </c>
      <c r="S154" s="857">
        <v>0</v>
      </c>
      <c r="T154" s="857">
        <v>0</v>
      </c>
      <c r="U154" s="857">
        <v>0</v>
      </c>
      <c r="V154" s="857">
        <v>0</v>
      </c>
      <c r="W154" s="857">
        <v>2276</v>
      </c>
      <c r="X154" s="1010">
        <v>0.98094727797866643</v>
      </c>
    </row>
    <row r="155" spans="1:24" ht="31.5">
      <c r="A155" s="838" t="s">
        <v>2469</v>
      </c>
      <c r="B155" s="840" t="s">
        <v>2108</v>
      </c>
      <c r="C155" s="857">
        <v>7487.0739999999996</v>
      </c>
      <c r="D155" s="857">
        <v>0</v>
      </c>
      <c r="E155" s="857">
        <v>1847.104</v>
      </c>
      <c r="F155" s="857">
        <v>5639.97</v>
      </c>
      <c r="G155" s="857">
        <v>6264.2926100000004</v>
      </c>
      <c r="H155" s="857">
        <v>0</v>
      </c>
      <c r="I155" s="857">
        <v>0</v>
      </c>
      <c r="J155" s="857">
        <v>0</v>
      </c>
      <c r="K155" s="857">
        <v>0</v>
      </c>
      <c r="L155" s="857">
        <v>0</v>
      </c>
      <c r="M155" s="857">
        <v>6264.2926100000004</v>
      </c>
      <c r="N155" s="857">
        <v>0</v>
      </c>
      <c r="O155" s="857">
        <v>0</v>
      </c>
      <c r="P155" s="857">
        <v>0</v>
      </c>
      <c r="Q155" s="857">
        <v>0</v>
      </c>
      <c r="R155" s="857">
        <v>0</v>
      </c>
      <c r="S155" s="857">
        <v>0</v>
      </c>
      <c r="T155" s="857">
        <v>0</v>
      </c>
      <c r="U155" s="857">
        <v>0</v>
      </c>
      <c r="V155" s="857">
        <v>0</v>
      </c>
      <c r="W155" s="857">
        <v>0</v>
      </c>
      <c r="X155" s="1010">
        <v>0.83668100649198884</v>
      </c>
    </row>
    <row r="156" spans="1:24" ht="31.5">
      <c r="A156" s="838" t="s">
        <v>2469</v>
      </c>
      <c r="B156" s="840" t="s">
        <v>2109</v>
      </c>
      <c r="C156" s="857">
        <v>7017.78</v>
      </c>
      <c r="D156" s="857">
        <v>0</v>
      </c>
      <c r="E156" s="857">
        <v>2685.7049999999999</v>
      </c>
      <c r="F156" s="857">
        <v>4332.0749999999998</v>
      </c>
      <c r="G156" s="857">
        <v>6598.1840000000002</v>
      </c>
      <c r="H156" s="857">
        <v>0</v>
      </c>
      <c r="I156" s="857">
        <v>0</v>
      </c>
      <c r="J156" s="857">
        <v>0</v>
      </c>
      <c r="K156" s="857">
        <v>0</v>
      </c>
      <c r="L156" s="857">
        <v>0</v>
      </c>
      <c r="M156" s="857">
        <v>6598.1840000000002</v>
      </c>
      <c r="N156" s="857">
        <v>0</v>
      </c>
      <c r="O156" s="857">
        <v>0</v>
      </c>
      <c r="P156" s="857">
        <v>0</v>
      </c>
      <c r="Q156" s="857">
        <v>0</v>
      </c>
      <c r="R156" s="857">
        <v>0</v>
      </c>
      <c r="S156" s="857">
        <v>0</v>
      </c>
      <c r="T156" s="857">
        <v>0</v>
      </c>
      <c r="U156" s="857">
        <v>0</v>
      </c>
      <c r="V156" s="857">
        <v>0</v>
      </c>
      <c r="W156" s="857">
        <v>0</v>
      </c>
      <c r="X156" s="1010">
        <v>0.94020958194756754</v>
      </c>
    </row>
    <row r="157" spans="1:24">
      <c r="A157" s="838" t="s">
        <v>2469</v>
      </c>
      <c r="B157" s="840" t="s">
        <v>2110</v>
      </c>
      <c r="C157" s="857">
        <v>5430.009376</v>
      </c>
      <c r="D157" s="857">
        <v>0</v>
      </c>
      <c r="E157" s="857">
        <v>1597.5709999999999</v>
      </c>
      <c r="F157" s="857">
        <v>3832.4383760000001</v>
      </c>
      <c r="G157" s="857">
        <v>5408.7579459999997</v>
      </c>
      <c r="H157" s="857">
        <v>0</v>
      </c>
      <c r="I157" s="857">
        <v>0</v>
      </c>
      <c r="J157" s="857">
        <v>0</v>
      </c>
      <c r="K157" s="857">
        <v>0</v>
      </c>
      <c r="L157" s="857">
        <v>0</v>
      </c>
      <c r="M157" s="857">
        <v>3587.602946</v>
      </c>
      <c r="N157" s="857">
        <v>0</v>
      </c>
      <c r="O157" s="857">
        <v>0</v>
      </c>
      <c r="P157" s="857">
        <v>0</v>
      </c>
      <c r="Q157" s="857">
        <v>0</v>
      </c>
      <c r="R157" s="857">
        <v>0</v>
      </c>
      <c r="S157" s="857">
        <v>0</v>
      </c>
      <c r="T157" s="857">
        <v>0</v>
      </c>
      <c r="U157" s="857">
        <v>0</v>
      </c>
      <c r="V157" s="857">
        <v>0</v>
      </c>
      <c r="W157" s="857">
        <v>1821.155</v>
      </c>
      <c r="X157" s="1010">
        <v>0.99608629957547978</v>
      </c>
    </row>
    <row r="158" spans="1:24">
      <c r="A158" s="838" t="s">
        <v>1987</v>
      </c>
      <c r="B158" s="840" t="s">
        <v>1725</v>
      </c>
      <c r="C158" s="857">
        <v>62549.801440000003</v>
      </c>
      <c r="D158" s="857">
        <v>17105.501939999998</v>
      </c>
      <c r="E158" s="857">
        <v>43505.353999999999</v>
      </c>
      <c r="F158" s="857">
        <v>1938.9455</v>
      </c>
      <c r="G158" s="857">
        <v>60599.124944000003</v>
      </c>
      <c r="H158" s="857">
        <v>0</v>
      </c>
      <c r="I158" s="857">
        <v>0</v>
      </c>
      <c r="J158" s="857">
        <v>0</v>
      </c>
      <c r="K158" s="857">
        <v>0</v>
      </c>
      <c r="L158" s="857">
        <v>0</v>
      </c>
      <c r="M158" s="857">
        <v>0</v>
      </c>
      <c r="N158" s="857">
        <v>0</v>
      </c>
      <c r="O158" s="857">
        <v>0</v>
      </c>
      <c r="P158" s="857">
        <v>33428.673441999999</v>
      </c>
      <c r="Q158" s="857">
        <v>17677.960201999998</v>
      </c>
      <c r="R158" s="857">
        <v>0</v>
      </c>
      <c r="S158" s="857">
        <v>0</v>
      </c>
      <c r="T158" s="857">
        <v>17677.960201999998</v>
      </c>
      <c r="U158" s="857">
        <v>8874.3078000000005</v>
      </c>
      <c r="V158" s="857">
        <v>0</v>
      </c>
      <c r="W158" s="857">
        <v>618.18349999999998</v>
      </c>
      <c r="X158" s="1010">
        <v>0.96881402576679387</v>
      </c>
    </row>
    <row r="159" spans="1:24" ht="31.5">
      <c r="A159" s="838" t="s">
        <v>2469</v>
      </c>
      <c r="B159" s="839" t="s">
        <v>2112</v>
      </c>
      <c r="C159" s="857">
        <v>748.12</v>
      </c>
      <c r="D159" s="857">
        <v>0</v>
      </c>
      <c r="E159" s="857">
        <v>487</v>
      </c>
      <c r="F159" s="857">
        <v>261.12</v>
      </c>
      <c r="G159" s="857">
        <v>697.53930000000003</v>
      </c>
      <c r="H159" s="857">
        <v>0</v>
      </c>
      <c r="I159" s="857">
        <v>0</v>
      </c>
      <c r="J159" s="857">
        <v>0</v>
      </c>
      <c r="K159" s="857">
        <v>0</v>
      </c>
      <c r="L159" s="857">
        <v>0</v>
      </c>
      <c r="M159" s="857">
        <v>0</v>
      </c>
      <c r="N159" s="857">
        <v>0</v>
      </c>
      <c r="O159" s="857">
        <v>0</v>
      </c>
      <c r="P159" s="857">
        <v>0</v>
      </c>
      <c r="Q159" s="857">
        <v>697.53930000000003</v>
      </c>
      <c r="R159" s="857">
        <v>0</v>
      </c>
      <c r="S159" s="857">
        <v>0</v>
      </c>
      <c r="T159" s="857">
        <v>697.53930000000003</v>
      </c>
      <c r="U159" s="857">
        <v>0</v>
      </c>
      <c r="V159" s="857">
        <v>0</v>
      </c>
      <c r="W159" s="857">
        <v>0</v>
      </c>
      <c r="X159" s="1010">
        <v>0.9323895899053628</v>
      </c>
    </row>
    <row r="160" spans="1:24" ht="31.5">
      <c r="A160" s="838" t="s">
        <v>2469</v>
      </c>
      <c r="B160" s="840" t="s">
        <v>2113</v>
      </c>
      <c r="C160" s="857">
        <v>26286.794999999998</v>
      </c>
      <c r="D160" s="857">
        <v>10972.895</v>
      </c>
      <c r="E160" s="857">
        <v>15313.9</v>
      </c>
      <c r="F160" s="857">
        <v>0</v>
      </c>
      <c r="G160" s="857">
        <v>26286.403441999999</v>
      </c>
      <c r="H160" s="857">
        <v>0</v>
      </c>
      <c r="I160" s="857">
        <v>0</v>
      </c>
      <c r="J160" s="857">
        <v>0</v>
      </c>
      <c r="K160" s="857">
        <v>0</v>
      </c>
      <c r="L160" s="857">
        <v>0</v>
      </c>
      <c r="M160" s="857">
        <v>0</v>
      </c>
      <c r="N160" s="857">
        <v>0</v>
      </c>
      <c r="O160" s="857">
        <v>0</v>
      </c>
      <c r="P160" s="857">
        <v>25843.403441999999</v>
      </c>
      <c r="Q160" s="857">
        <v>0</v>
      </c>
      <c r="R160" s="857">
        <v>0</v>
      </c>
      <c r="S160" s="857">
        <v>0</v>
      </c>
      <c r="T160" s="857">
        <v>0</v>
      </c>
      <c r="U160" s="857">
        <v>0</v>
      </c>
      <c r="V160" s="857">
        <v>0</v>
      </c>
      <c r="W160" s="857">
        <v>443</v>
      </c>
      <c r="X160" s="1010">
        <v>0.99998510438415944</v>
      </c>
    </row>
    <row r="161" spans="1:24" ht="31.5">
      <c r="A161" s="838" t="s">
        <v>2469</v>
      </c>
      <c r="B161" s="840" t="s">
        <v>2114</v>
      </c>
      <c r="C161" s="857">
        <v>4973.3479399999997</v>
      </c>
      <c r="D161" s="857">
        <v>2353.9939399999998</v>
      </c>
      <c r="E161" s="857">
        <v>2619.3539999999998</v>
      </c>
      <c r="F161" s="857">
        <v>0</v>
      </c>
      <c r="G161" s="857">
        <v>4973.3475440000002</v>
      </c>
      <c r="H161" s="857">
        <v>0</v>
      </c>
      <c r="I161" s="857">
        <v>0</v>
      </c>
      <c r="J161" s="857">
        <v>0</v>
      </c>
      <c r="K161" s="857">
        <v>0</v>
      </c>
      <c r="L161" s="857">
        <v>0</v>
      </c>
      <c r="M161" s="857">
        <v>0</v>
      </c>
      <c r="N161" s="857">
        <v>0</v>
      </c>
      <c r="O161" s="857">
        <v>0</v>
      </c>
      <c r="P161" s="857">
        <v>0</v>
      </c>
      <c r="Q161" s="857">
        <v>4973.3475440000002</v>
      </c>
      <c r="R161" s="857">
        <v>0</v>
      </c>
      <c r="S161" s="857">
        <v>0</v>
      </c>
      <c r="T161" s="857">
        <v>4973.3475440000002</v>
      </c>
      <c r="U161" s="857">
        <v>0</v>
      </c>
      <c r="V161" s="857">
        <v>0</v>
      </c>
      <c r="W161" s="857">
        <v>0</v>
      </c>
      <c r="X161" s="1010">
        <v>0.99999992037556906</v>
      </c>
    </row>
    <row r="162" spans="1:24" ht="31.5">
      <c r="A162" s="838" t="s">
        <v>2469</v>
      </c>
      <c r="B162" s="840" t="s">
        <v>2111</v>
      </c>
      <c r="C162" s="857">
        <v>21639.538499999999</v>
      </c>
      <c r="D162" s="857">
        <v>78.613</v>
      </c>
      <c r="E162" s="857">
        <v>19883.099999999999</v>
      </c>
      <c r="F162" s="857">
        <v>1677.8254999999999</v>
      </c>
      <c r="G162" s="857">
        <v>19755.9169</v>
      </c>
      <c r="H162" s="857">
        <v>0</v>
      </c>
      <c r="I162" s="857">
        <v>0</v>
      </c>
      <c r="J162" s="857">
        <v>0</v>
      </c>
      <c r="K162" s="857">
        <v>0</v>
      </c>
      <c r="L162" s="857">
        <v>0</v>
      </c>
      <c r="M162" s="857">
        <v>0</v>
      </c>
      <c r="N162" s="857">
        <v>0</v>
      </c>
      <c r="O162" s="857">
        <v>0</v>
      </c>
      <c r="P162" s="857">
        <v>1011.542</v>
      </c>
      <c r="Q162" s="857">
        <v>11122.883599999999</v>
      </c>
      <c r="R162" s="857">
        <v>0</v>
      </c>
      <c r="S162" s="857">
        <v>0</v>
      </c>
      <c r="T162" s="857">
        <v>11122.883599999999</v>
      </c>
      <c r="U162" s="857">
        <v>7446.3077999999996</v>
      </c>
      <c r="V162" s="857">
        <v>0</v>
      </c>
      <c r="W162" s="857">
        <v>175.18350000000001</v>
      </c>
      <c r="X162" s="1010">
        <v>0.9129546316341266</v>
      </c>
    </row>
    <row r="163" spans="1:24" ht="31.5">
      <c r="A163" s="838" t="s">
        <v>2469</v>
      </c>
      <c r="B163" s="840" t="s">
        <v>2115</v>
      </c>
      <c r="C163" s="857">
        <v>8002</v>
      </c>
      <c r="D163" s="857">
        <v>3700</v>
      </c>
      <c r="E163" s="857">
        <v>4302</v>
      </c>
      <c r="F163" s="857">
        <v>0</v>
      </c>
      <c r="G163" s="857">
        <v>8001.7280000000001</v>
      </c>
      <c r="H163" s="857">
        <v>0</v>
      </c>
      <c r="I163" s="857">
        <v>0</v>
      </c>
      <c r="J163" s="857">
        <v>0</v>
      </c>
      <c r="K163" s="857">
        <v>0</v>
      </c>
      <c r="L163" s="857">
        <v>0</v>
      </c>
      <c r="M163" s="857">
        <v>0</v>
      </c>
      <c r="N163" s="857">
        <v>0</v>
      </c>
      <c r="O163" s="857">
        <v>0</v>
      </c>
      <c r="P163" s="857">
        <v>6573.7280000000001</v>
      </c>
      <c r="Q163" s="857">
        <v>0</v>
      </c>
      <c r="R163" s="857">
        <v>0</v>
      </c>
      <c r="S163" s="857">
        <v>0</v>
      </c>
      <c r="T163" s="857">
        <v>0</v>
      </c>
      <c r="U163" s="857">
        <v>1428</v>
      </c>
      <c r="V163" s="857">
        <v>0</v>
      </c>
      <c r="W163" s="857">
        <v>0</v>
      </c>
      <c r="X163" s="1010">
        <v>0.99996600849787554</v>
      </c>
    </row>
    <row r="164" spans="1:24" ht="47.25">
      <c r="A164" s="838" t="s">
        <v>2469</v>
      </c>
      <c r="B164" s="840" t="s">
        <v>2116</v>
      </c>
      <c r="C164" s="857">
        <v>900</v>
      </c>
      <c r="D164" s="857">
        <v>0</v>
      </c>
      <c r="E164" s="857">
        <v>900</v>
      </c>
      <c r="F164" s="857">
        <v>0</v>
      </c>
      <c r="G164" s="857">
        <v>884.18975799999998</v>
      </c>
      <c r="H164" s="857">
        <v>0</v>
      </c>
      <c r="I164" s="857">
        <v>0</v>
      </c>
      <c r="J164" s="857">
        <v>0</v>
      </c>
      <c r="K164" s="857">
        <v>0</v>
      </c>
      <c r="L164" s="857">
        <v>0</v>
      </c>
      <c r="M164" s="857">
        <v>0</v>
      </c>
      <c r="N164" s="857">
        <v>0</v>
      </c>
      <c r="O164" s="857">
        <v>0</v>
      </c>
      <c r="P164" s="857">
        <v>0</v>
      </c>
      <c r="Q164" s="857">
        <v>884.18975799999998</v>
      </c>
      <c r="R164" s="857">
        <v>0</v>
      </c>
      <c r="S164" s="857">
        <v>0</v>
      </c>
      <c r="T164" s="857">
        <v>884.18975799999998</v>
      </c>
      <c r="U164" s="857">
        <v>0</v>
      </c>
      <c r="V164" s="857">
        <v>0</v>
      </c>
      <c r="W164" s="857">
        <v>0</v>
      </c>
      <c r="X164" s="1010">
        <v>0.98243306444444445</v>
      </c>
    </row>
    <row r="165" spans="1:24">
      <c r="A165" s="838" t="s">
        <v>1988</v>
      </c>
      <c r="B165" s="840" t="s">
        <v>2253</v>
      </c>
      <c r="C165" s="857">
        <v>20543.312000000002</v>
      </c>
      <c r="D165" s="857">
        <v>0</v>
      </c>
      <c r="E165" s="857">
        <v>9353</v>
      </c>
      <c r="F165" s="857">
        <v>11190.312</v>
      </c>
      <c r="G165" s="857">
        <v>12366.156029</v>
      </c>
      <c r="H165" s="857">
        <v>149.27719999999999</v>
      </c>
      <c r="I165" s="857">
        <v>0</v>
      </c>
      <c r="J165" s="857">
        <v>1681.9190000000001</v>
      </c>
      <c r="K165" s="857">
        <v>0</v>
      </c>
      <c r="L165" s="857">
        <v>0</v>
      </c>
      <c r="M165" s="857">
        <v>6309.9598290000004</v>
      </c>
      <c r="N165" s="857">
        <v>0</v>
      </c>
      <c r="O165" s="857">
        <v>0</v>
      </c>
      <c r="P165" s="857">
        <v>0</v>
      </c>
      <c r="Q165" s="857">
        <v>0</v>
      </c>
      <c r="R165" s="857">
        <v>0</v>
      </c>
      <c r="S165" s="857">
        <v>0</v>
      </c>
      <c r="T165" s="857">
        <v>0</v>
      </c>
      <c r="U165" s="857">
        <v>4225</v>
      </c>
      <c r="V165" s="857">
        <v>0</v>
      </c>
      <c r="W165" s="857">
        <v>0</v>
      </c>
      <c r="X165" s="1010">
        <v>0.60195532390298112</v>
      </c>
    </row>
    <row r="166" spans="1:24" ht="31.5">
      <c r="A166" s="838" t="s">
        <v>2469</v>
      </c>
      <c r="B166" s="839" t="s">
        <v>2117</v>
      </c>
      <c r="C166" s="857">
        <v>1587.1030000000001</v>
      </c>
      <c r="D166" s="857">
        <v>0</v>
      </c>
      <c r="E166" s="857">
        <v>1159.99</v>
      </c>
      <c r="F166" s="857">
        <v>427.113</v>
      </c>
      <c r="G166" s="857">
        <v>1549.7283890000001</v>
      </c>
      <c r="H166" s="857">
        <v>149.27719999999999</v>
      </c>
      <c r="I166" s="857">
        <v>0</v>
      </c>
      <c r="J166" s="857">
        <v>0</v>
      </c>
      <c r="K166" s="857">
        <v>0</v>
      </c>
      <c r="L166" s="857">
        <v>0</v>
      </c>
      <c r="M166" s="857">
        <v>1400.4511890000001</v>
      </c>
      <c r="N166" s="857">
        <v>0</v>
      </c>
      <c r="O166" s="857">
        <v>0</v>
      </c>
      <c r="P166" s="857">
        <v>0</v>
      </c>
      <c r="Q166" s="857">
        <v>0</v>
      </c>
      <c r="R166" s="857">
        <v>0</v>
      </c>
      <c r="S166" s="857">
        <v>0</v>
      </c>
      <c r="T166" s="857">
        <v>0</v>
      </c>
      <c r="U166" s="857">
        <v>0</v>
      </c>
      <c r="V166" s="857">
        <v>0</v>
      </c>
      <c r="W166" s="857">
        <v>0</v>
      </c>
      <c r="X166" s="1010">
        <v>0.97645104886072298</v>
      </c>
    </row>
    <row r="167" spans="1:24" ht="31.5">
      <c r="A167" s="838" t="s">
        <v>2469</v>
      </c>
      <c r="B167" s="840" t="s">
        <v>2118</v>
      </c>
      <c r="C167" s="857">
        <v>18956.208999999999</v>
      </c>
      <c r="D167" s="857">
        <v>0</v>
      </c>
      <c r="E167" s="857">
        <v>8193.01</v>
      </c>
      <c r="F167" s="857">
        <v>10763.199000000001</v>
      </c>
      <c r="G167" s="857">
        <v>10816.42764</v>
      </c>
      <c r="H167" s="857">
        <v>0</v>
      </c>
      <c r="I167" s="857">
        <v>0</v>
      </c>
      <c r="J167" s="857">
        <v>1681.9190000000001</v>
      </c>
      <c r="K167" s="857">
        <v>0</v>
      </c>
      <c r="L167" s="857">
        <v>0</v>
      </c>
      <c r="M167" s="857">
        <v>4909.50864</v>
      </c>
      <c r="N167" s="857">
        <v>0</v>
      </c>
      <c r="O167" s="857">
        <v>0</v>
      </c>
      <c r="P167" s="857">
        <v>0</v>
      </c>
      <c r="Q167" s="857">
        <v>0</v>
      </c>
      <c r="R167" s="857">
        <v>0</v>
      </c>
      <c r="S167" s="857">
        <v>0</v>
      </c>
      <c r="T167" s="857">
        <v>0</v>
      </c>
      <c r="U167" s="857">
        <v>4225</v>
      </c>
      <c r="V167" s="857">
        <v>0</v>
      </c>
      <c r="W167" s="857">
        <v>0</v>
      </c>
      <c r="X167" s="1010">
        <v>0.57060077993442682</v>
      </c>
    </row>
    <row r="168" spans="1:24">
      <c r="A168" s="838" t="s">
        <v>2487</v>
      </c>
      <c r="B168" s="840" t="s">
        <v>451</v>
      </c>
      <c r="C168" s="857">
        <v>32635.440299999998</v>
      </c>
      <c r="D168" s="857">
        <v>0</v>
      </c>
      <c r="E168" s="857">
        <v>24201</v>
      </c>
      <c r="F168" s="857">
        <v>8434.4403000000002</v>
      </c>
      <c r="G168" s="857">
        <v>32435.002865999999</v>
      </c>
      <c r="H168" s="857">
        <v>1994.334566</v>
      </c>
      <c r="I168" s="857">
        <v>0</v>
      </c>
      <c r="J168" s="857">
        <v>66.44</v>
      </c>
      <c r="K168" s="857">
        <v>0</v>
      </c>
      <c r="L168" s="857">
        <v>0</v>
      </c>
      <c r="M168" s="857">
        <v>916.80499999999995</v>
      </c>
      <c r="N168" s="857">
        <v>0</v>
      </c>
      <c r="O168" s="857">
        <v>0</v>
      </c>
      <c r="P168" s="857">
        <v>0</v>
      </c>
      <c r="Q168" s="857">
        <v>3532.607</v>
      </c>
      <c r="R168" s="857">
        <v>0</v>
      </c>
      <c r="S168" s="857">
        <v>0</v>
      </c>
      <c r="T168" s="857">
        <v>3532.607</v>
      </c>
      <c r="U168" s="857">
        <v>23663.458299999998</v>
      </c>
      <c r="V168" s="857">
        <v>0</v>
      </c>
      <c r="W168" s="857">
        <v>2261.3580000000002</v>
      </c>
      <c r="X168" s="1010">
        <v>0.99385828926597941</v>
      </c>
    </row>
    <row r="169" spans="1:24" ht="31.5">
      <c r="A169" s="838" t="s">
        <v>2469</v>
      </c>
      <c r="B169" s="839" t="s">
        <v>2119</v>
      </c>
      <c r="C169" s="857">
        <v>3532.607</v>
      </c>
      <c r="D169" s="857">
        <v>0</v>
      </c>
      <c r="E169" s="857">
        <v>2163</v>
      </c>
      <c r="F169" s="857">
        <v>1369.607</v>
      </c>
      <c r="G169" s="857">
        <v>3532.607</v>
      </c>
      <c r="H169" s="857">
        <v>0</v>
      </c>
      <c r="I169" s="857">
        <v>0</v>
      </c>
      <c r="J169" s="857">
        <v>0</v>
      </c>
      <c r="K169" s="857">
        <v>0</v>
      </c>
      <c r="L169" s="857">
        <v>0</v>
      </c>
      <c r="M169" s="857">
        <v>0</v>
      </c>
      <c r="N169" s="857">
        <v>0</v>
      </c>
      <c r="O169" s="857">
        <v>0</v>
      </c>
      <c r="P169" s="857">
        <v>0</v>
      </c>
      <c r="Q169" s="857">
        <v>3532.607</v>
      </c>
      <c r="R169" s="857">
        <v>0</v>
      </c>
      <c r="S169" s="857">
        <v>0</v>
      </c>
      <c r="T169" s="857">
        <v>3532.607</v>
      </c>
      <c r="U169" s="857">
        <v>0</v>
      </c>
      <c r="V169" s="857">
        <v>0</v>
      </c>
      <c r="W169" s="857">
        <v>0</v>
      </c>
      <c r="X169" s="1010">
        <v>1</v>
      </c>
    </row>
    <row r="170" spans="1:24" ht="31.5">
      <c r="A170" s="838" t="s">
        <v>2469</v>
      </c>
      <c r="B170" s="840" t="s">
        <v>2120</v>
      </c>
      <c r="C170" s="857">
        <v>13394.281999999999</v>
      </c>
      <c r="D170" s="857">
        <v>0</v>
      </c>
      <c r="E170" s="857">
        <v>13301</v>
      </c>
      <c r="F170" s="857">
        <v>93.281999999999996</v>
      </c>
      <c r="G170" s="857">
        <v>13384.732</v>
      </c>
      <c r="H170" s="857">
        <v>0</v>
      </c>
      <c r="I170" s="857">
        <v>0</v>
      </c>
      <c r="J170" s="857">
        <v>0</v>
      </c>
      <c r="K170" s="857">
        <v>0</v>
      </c>
      <c r="L170" s="857">
        <v>0</v>
      </c>
      <c r="M170" s="857">
        <v>0</v>
      </c>
      <c r="N170" s="857">
        <v>0</v>
      </c>
      <c r="O170" s="857">
        <v>0</v>
      </c>
      <c r="P170" s="857">
        <v>0</v>
      </c>
      <c r="Q170" s="857">
        <v>0</v>
      </c>
      <c r="R170" s="857">
        <v>0</v>
      </c>
      <c r="S170" s="857">
        <v>0</v>
      </c>
      <c r="T170" s="857">
        <v>0</v>
      </c>
      <c r="U170" s="857">
        <v>13384.732</v>
      </c>
      <c r="V170" s="857">
        <v>0</v>
      </c>
      <c r="W170" s="857">
        <v>0</v>
      </c>
      <c r="X170" s="1010">
        <v>0.99928700918795055</v>
      </c>
    </row>
    <row r="171" spans="1:24">
      <c r="A171" s="838" t="s">
        <v>2469</v>
      </c>
      <c r="B171" s="840" t="s">
        <v>2121</v>
      </c>
      <c r="C171" s="857">
        <v>13487.9213</v>
      </c>
      <c r="D171" s="857">
        <v>0</v>
      </c>
      <c r="E171" s="857">
        <v>6735</v>
      </c>
      <c r="F171" s="857">
        <v>6752.9213</v>
      </c>
      <c r="G171" s="857">
        <v>13297.033866</v>
      </c>
      <c r="H171" s="857">
        <v>1916.344566</v>
      </c>
      <c r="I171" s="857">
        <v>0</v>
      </c>
      <c r="J171" s="857">
        <v>66.44</v>
      </c>
      <c r="K171" s="857">
        <v>0</v>
      </c>
      <c r="L171" s="857">
        <v>0</v>
      </c>
      <c r="M171" s="857">
        <v>916.80499999999995</v>
      </c>
      <c r="N171" s="857">
        <v>0</v>
      </c>
      <c r="O171" s="857">
        <v>0</v>
      </c>
      <c r="P171" s="857">
        <v>0</v>
      </c>
      <c r="Q171" s="857">
        <v>0</v>
      </c>
      <c r="R171" s="857">
        <v>0</v>
      </c>
      <c r="S171" s="857">
        <v>0</v>
      </c>
      <c r="T171" s="857">
        <v>0</v>
      </c>
      <c r="U171" s="857">
        <v>8136.0862999999999</v>
      </c>
      <c r="V171" s="857">
        <v>0</v>
      </c>
      <c r="W171" s="857">
        <v>2261.3580000000002</v>
      </c>
      <c r="X171" s="1010">
        <v>0.98584752759493044</v>
      </c>
    </row>
    <row r="172" spans="1:24">
      <c r="A172" s="838" t="s">
        <v>2469</v>
      </c>
      <c r="B172" s="840" t="s">
        <v>2122</v>
      </c>
      <c r="C172" s="857">
        <v>2220.63</v>
      </c>
      <c r="D172" s="857">
        <v>0</v>
      </c>
      <c r="E172" s="857">
        <v>2002</v>
      </c>
      <c r="F172" s="857">
        <v>218.63</v>
      </c>
      <c r="G172" s="857">
        <v>2220.63</v>
      </c>
      <c r="H172" s="857">
        <v>77.989999999999995</v>
      </c>
      <c r="I172" s="857">
        <v>0</v>
      </c>
      <c r="J172" s="857">
        <v>0</v>
      </c>
      <c r="K172" s="857">
        <v>0</v>
      </c>
      <c r="L172" s="857">
        <v>0</v>
      </c>
      <c r="M172" s="857">
        <v>0</v>
      </c>
      <c r="N172" s="857">
        <v>0</v>
      </c>
      <c r="O172" s="857">
        <v>0</v>
      </c>
      <c r="P172" s="857">
        <v>0</v>
      </c>
      <c r="Q172" s="857">
        <v>0</v>
      </c>
      <c r="R172" s="857">
        <v>0</v>
      </c>
      <c r="S172" s="857">
        <v>0</v>
      </c>
      <c r="T172" s="857">
        <v>0</v>
      </c>
      <c r="U172" s="857">
        <v>2142.64</v>
      </c>
      <c r="V172" s="857">
        <v>0</v>
      </c>
      <c r="W172" s="857">
        <v>0</v>
      </c>
      <c r="X172" s="1010">
        <v>1</v>
      </c>
    </row>
    <row r="173" spans="1:24">
      <c r="A173" s="838" t="s">
        <v>2488</v>
      </c>
      <c r="B173" s="840" t="s">
        <v>1726</v>
      </c>
      <c r="C173" s="857">
        <v>8425.8709999999992</v>
      </c>
      <c r="D173" s="857">
        <v>0</v>
      </c>
      <c r="E173" s="857">
        <v>7769</v>
      </c>
      <c r="F173" s="857">
        <v>656.87099999999998</v>
      </c>
      <c r="G173" s="857">
        <v>7439.2420000000002</v>
      </c>
      <c r="H173" s="857">
        <v>0</v>
      </c>
      <c r="I173" s="857">
        <v>0</v>
      </c>
      <c r="J173" s="857">
        <v>0</v>
      </c>
      <c r="K173" s="857">
        <v>0</v>
      </c>
      <c r="L173" s="857">
        <v>0</v>
      </c>
      <c r="M173" s="857">
        <v>13.371</v>
      </c>
      <c r="N173" s="857">
        <v>0</v>
      </c>
      <c r="O173" s="857">
        <v>0</v>
      </c>
      <c r="P173" s="857">
        <v>0</v>
      </c>
      <c r="Q173" s="857">
        <v>0</v>
      </c>
      <c r="R173" s="857">
        <v>0</v>
      </c>
      <c r="S173" s="857">
        <v>0</v>
      </c>
      <c r="T173" s="857">
        <v>0</v>
      </c>
      <c r="U173" s="857">
        <v>7425.8710000000001</v>
      </c>
      <c r="V173" s="857">
        <v>0</v>
      </c>
      <c r="W173" s="857">
        <v>0</v>
      </c>
      <c r="X173" s="1010">
        <v>0.88290480592451526</v>
      </c>
    </row>
    <row r="174" spans="1:24">
      <c r="A174" s="838" t="s">
        <v>2469</v>
      </c>
      <c r="B174" s="839" t="s">
        <v>2123</v>
      </c>
      <c r="C174" s="857">
        <v>8425.8709999999992</v>
      </c>
      <c r="D174" s="857">
        <v>0</v>
      </c>
      <c r="E174" s="857">
        <v>7769</v>
      </c>
      <c r="F174" s="857">
        <v>656.87099999999998</v>
      </c>
      <c r="G174" s="857">
        <v>7439.2420000000002</v>
      </c>
      <c r="H174" s="857">
        <v>0</v>
      </c>
      <c r="I174" s="857">
        <v>0</v>
      </c>
      <c r="J174" s="857">
        <v>0</v>
      </c>
      <c r="K174" s="857">
        <v>0</v>
      </c>
      <c r="L174" s="857">
        <v>0</v>
      </c>
      <c r="M174" s="857">
        <v>13.371</v>
      </c>
      <c r="N174" s="857">
        <v>0</v>
      </c>
      <c r="O174" s="857">
        <v>0</v>
      </c>
      <c r="P174" s="857">
        <v>0</v>
      </c>
      <c r="Q174" s="857">
        <v>0</v>
      </c>
      <c r="R174" s="857">
        <v>0</v>
      </c>
      <c r="S174" s="857">
        <v>0</v>
      </c>
      <c r="T174" s="857">
        <v>0</v>
      </c>
      <c r="U174" s="857">
        <v>7425.8710000000001</v>
      </c>
      <c r="V174" s="857">
        <v>0</v>
      </c>
      <c r="W174" s="857">
        <v>0</v>
      </c>
      <c r="X174" s="1010">
        <v>0.88290480592451526</v>
      </c>
    </row>
    <row r="175" spans="1:24">
      <c r="A175" s="838" t="s">
        <v>2489</v>
      </c>
      <c r="B175" s="840" t="s">
        <v>2254</v>
      </c>
      <c r="C175" s="857">
        <v>31463.937999999998</v>
      </c>
      <c r="D175" s="857">
        <v>673.2</v>
      </c>
      <c r="E175" s="857">
        <v>26118</v>
      </c>
      <c r="F175" s="857">
        <v>4672.7380000000003</v>
      </c>
      <c r="G175" s="857">
        <v>29189.372336</v>
      </c>
      <c r="H175" s="857">
        <v>0</v>
      </c>
      <c r="I175" s="857">
        <v>0</v>
      </c>
      <c r="J175" s="857">
        <v>326.58499999999998</v>
      </c>
      <c r="K175" s="857">
        <v>0</v>
      </c>
      <c r="L175" s="857">
        <v>0</v>
      </c>
      <c r="M175" s="857">
        <v>673.2</v>
      </c>
      <c r="N175" s="857">
        <v>28189.587336000001</v>
      </c>
      <c r="O175" s="857">
        <v>0</v>
      </c>
      <c r="P175" s="857">
        <v>0</v>
      </c>
      <c r="Q175" s="857">
        <v>0</v>
      </c>
      <c r="R175" s="857">
        <v>0</v>
      </c>
      <c r="S175" s="857">
        <v>0</v>
      </c>
      <c r="T175" s="857">
        <v>0</v>
      </c>
      <c r="U175" s="857">
        <v>0</v>
      </c>
      <c r="V175" s="857">
        <v>0</v>
      </c>
      <c r="W175" s="857">
        <v>0</v>
      </c>
      <c r="X175" s="1010">
        <v>0.92770880542670797</v>
      </c>
    </row>
    <row r="176" spans="1:24" ht="31.5">
      <c r="A176" s="838" t="s">
        <v>2469</v>
      </c>
      <c r="B176" s="839" t="s">
        <v>2124</v>
      </c>
      <c r="C176" s="857">
        <v>31463.937999999998</v>
      </c>
      <c r="D176" s="857">
        <v>673.2</v>
      </c>
      <c r="E176" s="857">
        <v>26118</v>
      </c>
      <c r="F176" s="857">
        <v>4672.7380000000003</v>
      </c>
      <c r="G176" s="857">
        <v>29189.372336</v>
      </c>
      <c r="H176" s="857">
        <v>0</v>
      </c>
      <c r="I176" s="857">
        <v>0</v>
      </c>
      <c r="J176" s="857">
        <v>326.58499999999998</v>
      </c>
      <c r="K176" s="857">
        <v>0</v>
      </c>
      <c r="L176" s="857">
        <v>0</v>
      </c>
      <c r="M176" s="857">
        <v>673.2</v>
      </c>
      <c r="N176" s="857">
        <v>28189.587336000001</v>
      </c>
      <c r="O176" s="857">
        <v>0</v>
      </c>
      <c r="P176" s="857">
        <v>0</v>
      </c>
      <c r="Q176" s="857">
        <v>0</v>
      </c>
      <c r="R176" s="857">
        <v>0</v>
      </c>
      <c r="S176" s="857">
        <v>0</v>
      </c>
      <c r="T176" s="857">
        <v>0</v>
      </c>
      <c r="U176" s="857">
        <v>0</v>
      </c>
      <c r="V176" s="857">
        <v>0</v>
      </c>
      <c r="W176" s="857">
        <v>0</v>
      </c>
      <c r="X176" s="1010">
        <v>0.92770880542670797</v>
      </c>
    </row>
    <row r="177" spans="1:24">
      <c r="A177" s="838" t="s">
        <v>2490</v>
      </c>
      <c r="B177" s="840" t="s">
        <v>2491</v>
      </c>
      <c r="C177" s="857">
        <v>2721.002</v>
      </c>
      <c r="D177" s="857">
        <v>0</v>
      </c>
      <c r="E177" s="857">
        <v>2210</v>
      </c>
      <c r="F177" s="857">
        <v>511.00200000000001</v>
      </c>
      <c r="G177" s="857">
        <v>2720.2562899999998</v>
      </c>
      <c r="H177" s="857">
        <v>0</v>
      </c>
      <c r="I177" s="857">
        <v>0</v>
      </c>
      <c r="J177" s="857">
        <v>0</v>
      </c>
      <c r="K177" s="857">
        <v>0</v>
      </c>
      <c r="L177" s="857">
        <v>0</v>
      </c>
      <c r="M177" s="857">
        <v>0</v>
      </c>
      <c r="N177" s="857">
        <v>0</v>
      </c>
      <c r="O177" s="857">
        <v>0</v>
      </c>
      <c r="P177" s="857">
        <v>0</v>
      </c>
      <c r="Q177" s="857">
        <v>363.79399999999998</v>
      </c>
      <c r="R177" s="857">
        <v>0</v>
      </c>
      <c r="S177" s="857">
        <v>363.79399999999998</v>
      </c>
      <c r="T177" s="857">
        <v>0</v>
      </c>
      <c r="U177" s="857">
        <v>2356.4622899999999</v>
      </c>
      <c r="V177" s="857">
        <v>0</v>
      </c>
      <c r="W177" s="857">
        <v>0</v>
      </c>
      <c r="X177" s="1010">
        <v>0.99972594286957517</v>
      </c>
    </row>
    <row r="178" spans="1:24" ht="31.5">
      <c r="A178" s="838" t="s">
        <v>2469</v>
      </c>
      <c r="B178" s="839" t="s">
        <v>2125</v>
      </c>
      <c r="C178" s="857">
        <v>2721.002</v>
      </c>
      <c r="D178" s="857">
        <v>0</v>
      </c>
      <c r="E178" s="857">
        <v>2210</v>
      </c>
      <c r="F178" s="857">
        <v>511.00200000000001</v>
      </c>
      <c r="G178" s="857">
        <v>2720.2562899999998</v>
      </c>
      <c r="H178" s="857">
        <v>0</v>
      </c>
      <c r="I178" s="857">
        <v>0</v>
      </c>
      <c r="J178" s="857">
        <v>0</v>
      </c>
      <c r="K178" s="857">
        <v>0</v>
      </c>
      <c r="L178" s="857">
        <v>0</v>
      </c>
      <c r="M178" s="857">
        <v>0</v>
      </c>
      <c r="N178" s="857">
        <v>0</v>
      </c>
      <c r="O178" s="857">
        <v>0</v>
      </c>
      <c r="P178" s="857">
        <v>0</v>
      </c>
      <c r="Q178" s="857">
        <v>363.79399999999998</v>
      </c>
      <c r="R178" s="857">
        <v>0</v>
      </c>
      <c r="S178" s="857">
        <v>363.79399999999998</v>
      </c>
      <c r="T178" s="857">
        <v>0</v>
      </c>
      <c r="U178" s="857">
        <v>2356.4622899999999</v>
      </c>
      <c r="V178" s="857">
        <v>0</v>
      </c>
      <c r="W178" s="857">
        <v>0</v>
      </c>
      <c r="X178" s="1010">
        <v>0.99972594286957517</v>
      </c>
    </row>
    <row r="179" spans="1:24">
      <c r="A179" s="838" t="s">
        <v>2492</v>
      </c>
      <c r="B179" s="840" t="s">
        <v>1694</v>
      </c>
      <c r="C179" s="857">
        <v>4345.415</v>
      </c>
      <c r="D179" s="857">
        <v>0</v>
      </c>
      <c r="E179" s="857">
        <v>4040</v>
      </c>
      <c r="F179" s="857">
        <v>305.41500000000002</v>
      </c>
      <c r="G179" s="857">
        <v>4263.9771220000002</v>
      </c>
      <c r="H179" s="857">
        <v>0</v>
      </c>
      <c r="I179" s="857">
        <v>0</v>
      </c>
      <c r="J179" s="857">
        <v>0</v>
      </c>
      <c r="K179" s="857">
        <v>0</v>
      </c>
      <c r="L179" s="857">
        <v>0</v>
      </c>
      <c r="M179" s="857">
        <v>0</v>
      </c>
      <c r="N179" s="857">
        <v>0</v>
      </c>
      <c r="O179" s="857">
        <v>0</v>
      </c>
      <c r="P179" s="857">
        <v>0</v>
      </c>
      <c r="Q179" s="857">
        <v>0</v>
      </c>
      <c r="R179" s="857">
        <v>0</v>
      </c>
      <c r="S179" s="857">
        <v>0</v>
      </c>
      <c r="T179" s="857">
        <v>0</v>
      </c>
      <c r="U179" s="857">
        <v>4263.9771220000002</v>
      </c>
      <c r="V179" s="857">
        <v>0</v>
      </c>
      <c r="W179" s="857">
        <v>0</v>
      </c>
      <c r="X179" s="1010">
        <v>0.98125889518032228</v>
      </c>
    </row>
    <row r="180" spans="1:24">
      <c r="A180" s="838" t="s">
        <v>2469</v>
      </c>
      <c r="B180" s="839" t="s">
        <v>2126</v>
      </c>
      <c r="C180" s="857">
        <v>4345.415</v>
      </c>
      <c r="D180" s="857">
        <v>0</v>
      </c>
      <c r="E180" s="857">
        <v>4040</v>
      </c>
      <c r="F180" s="857">
        <v>305.41500000000002</v>
      </c>
      <c r="G180" s="857">
        <v>4263.9771220000002</v>
      </c>
      <c r="H180" s="857">
        <v>0</v>
      </c>
      <c r="I180" s="857">
        <v>0</v>
      </c>
      <c r="J180" s="857">
        <v>0</v>
      </c>
      <c r="K180" s="857">
        <v>0</v>
      </c>
      <c r="L180" s="857">
        <v>0</v>
      </c>
      <c r="M180" s="857">
        <v>0</v>
      </c>
      <c r="N180" s="857">
        <v>0</v>
      </c>
      <c r="O180" s="857">
        <v>0</v>
      </c>
      <c r="P180" s="857">
        <v>0</v>
      </c>
      <c r="Q180" s="857">
        <v>0</v>
      </c>
      <c r="R180" s="857">
        <v>0</v>
      </c>
      <c r="S180" s="857">
        <v>0</v>
      </c>
      <c r="T180" s="857">
        <v>0</v>
      </c>
      <c r="U180" s="857">
        <v>4263.9771220000002</v>
      </c>
      <c r="V180" s="857">
        <v>0</v>
      </c>
      <c r="W180" s="857">
        <v>0</v>
      </c>
      <c r="X180" s="1010">
        <v>0.98125889518032228</v>
      </c>
    </row>
    <row r="181" spans="1:24">
      <c r="A181" s="838" t="s">
        <v>2493</v>
      </c>
      <c r="B181" s="840" t="s">
        <v>557</v>
      </c>
      <c r="C181" s="857">
        <v>127242.35</v>
      </c>
      <c r="D181" s="857">
        <v>0</v>
      </c>
      <c r="E181" s="857">
        <v>0</v>
      </c>
      <c r="F181" s="857">
        <v>127242.35</v>
      </c>
      <c r="G181" s="857">
        <v>124718.309221</v>
      </c>
      <c r="H181" s="857">
        <v>1141.9970000000001</v>
      </c>
      <c r="I181" s="857">
        <v>0</v>
      </c>
      <c r="J181" s="857">
        <v>0</v>
      </c>
      <c r="K181" s="857">
        <v>0</v>
      </c>
      <c r="L181" s="857">
        <v>0</v>
      </c>
      <c r="M181" s="857">
        <v>29951.669000000002</v>
      </c>
      <c r="N181" s="857">
        <v>0</v>
      </c>
      <c r="O181" s="857">
        <v>0</v>
      </c>
      <c r="P181" s="857">
        <v>0</v>
      </c>
      <c r="Q181" s="857">
        <v>0</v>
      </c>
      <c r="R181" s="857">
        <v>0</v>
      </c>
      <c r="S181" s="857">
        <v>0</v>
      </c>
      <c r="T181" s="857">
        <v>0</v>
      </c>
      <c r="U181" s="857">
        <v>93624.643221000006</v>
      </c>
      <c r="V181" s="857">
        <v>0</v>
      </c>
      <c r="W181" s="857">
        <v>0</v>
      </c>
      <c r="X181" s="1010">
        <v>0.98016351647859379</v>
      </c>
    </row>
    <row r="182" spans="1:24">
      <c r="A182" s="838" t="s">
        <v>2469</v>
      </c>
      <c r="B182" s="839" t="s">
        <v>2127</v>
      </c>
      <c r="C182" s="857">
        <v>127242.35</v>
      </c>
      <c r="D182" s="857">
        <v>0</v>
      </c>
      <c r="E182" s="857">
        <v>0</v>
      </c>
      <c r="F182" s="857">
        <v>127242.35</v>
      </c>
      <c r="G182" s="857">
        <v>124718.309221</v>
      </c>
      <c r="H182" s="857">
        <v>1141.9970000000001</v>
      </c>
      <c r="I182" s="857">
        <v>0</v>
      </c>
      <c r="J182" s="857">
        <v>0</v>
      </c>
      <c r="K182" s="857">
        <v>0</v>
      </c>
      <c r="L182" s="857">
        <v>0</v>
      </c>
      <c r="M182" s="857">
        <v>29951.669000000002</v>
      </c>
      <c r="N182" s="857">
        <v>0</v>
      </c>
      <c r="O182" s="857">
        <v>0</v>
      </c>
      <c r="P182" s="857">
        <v>0</v>
      </c>
      <c r="Q182" s="857">
        <v>0</v>
      </c>
      <c r="R182" s="857">
        <v>0</v>
      </c>
      <c r="S182" s="857">
        <v>0</v>
      </c>
      <c r="T182" s="857">
        <v>0</v>
      </c>
      <c r="U182" s="857">
        <v>93624.643221000006</v>
      </c>
      <c r="V182" s="857">
        <v>0</v>
      </c>
      <c r="W182" s="857">
        <v>0</v>
      </c>
      <c r="X182" s="1010">
        <v>0.98016351647859379</v>
      </c>
    </row>
    <row r="183" spans="1:24">
      <c r="A183" s="838" t="s">
        <v>2494</v>
      </c>
      <c r="B183" s="840" t="s">
        <v>2255</v>
      </c>
      <c r="C183" s="857">
        <v>9554.2420000000002</v>
      </c>
      <c r="D183" s="857">
        <v>0</v>
      </c>
      <c r="E183" s="857">
        <v>7414</v>
      </c>
      <c r="F183" s="857">
        <v>2140.2420000000002</v>
      </c>
      <c r="G183" s="857">
        <v>8634.2019999999993</v>
      </c>
      <c r="H183" s="857">
        <v>129.31200000000001</v>
      </c>
      <c r="I183" s="857">
        <v>0</v>
      </c>
      <c r="J183" s="857">
        <v>0</v>
      </c>
      <c r="K183" s="857">
        <v>0</v>
      </c>
      <c r="L183" s="857">
        <v>0</v>
      </c>
      <c r="M183" s="857">
        <v>0</v>
      </c>
      <c r="N183" s="857">
        <v>0</v>
      </c>
      <c r="O183" s="857">
        <v>0</v>
      </c>
      <c r="P183" s="857">
        <v>0</v>
      </c>
      <c r="Q183" s="857">
        <v>0</v>
      </c>
      <c r="R183" s="857">
        <v>0</v>
      </c>
      <c r="S183" s="857">
        <v>0</v>
      </c>
      <c r="T183" s="857">
        <v>0</v>
      </c>
      <c r="U183" s="857">
        <v>8504.89</v>
      </c>
      <c r="V183" s="857">
        <v>0</v>
      </c>
      <c r="W183" s="857">
        <v>0</v>
      </c>
      <c r="X183" s="1010">
        <v>0.90370350677740829</v>
      </c>
    </row>
    <row r="184" spans="1:24" ht="31.5">
      <c r="A184" s="838" t="s">
        <v>2469</v>
      </c>
      <c r="B184" s="839" t="s">
        <v>2128</v>
      </c>
      <c r="C184" s="857">
        <v>9554.2420000000002</v>
      </c>
      <c r="D184" s="857">
        <v>0</v>
      </c>
      <c r="E184" s="857">
        <v>7414</v>
      </c>
      <c r="F184" s="857">
        <v>2140.2420000000002</v>
      </c>
      <c r="G184" s="857">
        <v>8634.2019999999993</v>
      </c>
      <c r="H184" s="857">
        <v>129.31200000000001</v>
      </c>
      <c r="I184" s="857">
        <v>0</v>
      </c>
      <c r="J184" s="857">
        <v>0</v>
      </c>
      <c r="K184" s="857">
        <v>0</v>
      </c>
      <c r="L184" s="857">
        <v>0</v>
      </c>
      <c r="M184" s="857">
        <v>0</v>
      </c>
      <c r="N184" s="857">
        <v>0</v>
      </c>
      <c r="O184" s="857">
        <v>0</v>
      </c>
      <c r="P184" s="857">
        <v>0</v>
      </c>
      <c r="Q184" s="857">
        <v>0</v>
      </c>
      <c r="R184" s="857">
        <v>0</v>
      </c>
      <c r="S184" s="857">
        <v>0</v>
      </c>
      <c r="T184" s="857">
        <v>0</v>
      </c>
      <c r="U184" s="857">
        <v>8504.89</v>
      </c>
      <c r="V184" s="857">
        <v>0</v>
      </c>
      <c r="W184" s="857">
        <v>0</v>
      </c>
      <c r="X184" s="1010">
        <v>0.90370350677740829</v>
      </c>
    </row>
    <row r="185" spans="1:24" ht="31.5">
      <c r="A185" s="838" t="s">
        <v>2495</v>
      </c>
      <c r="B185" s="840" t="s">
        <v>2496</v>
      </c>
      <c r="C185" s="857">
        <v>10603.837</v>
      </c>
      <c r="D185" s="857">
        <v>0</v>
      </c>
      <c r="E185" s="857">
        <v>7704</v>
      </c>
      <c r="F185" s="857">
        <v>2899.837</v>
      </c>
      <c r="G185" s="857">
        <v>10557.563194</v>
      </c>
      <c r="H185" s="857">
        <v>4355.7505410000003</v>
      </c>
      <c r="I185" s="857">
        <v>0</v>
      </c>
      <c r="J185" s="857">
        <v>0</v>
      </c>
      <c r="K185" s="857">
        <v>0</v>
      </c>
      <c r="L185" s="857">
        <v>0</v>
      </c>
      <c r="M185" s="857">
        <v>0</v>
      </c>
      <c r="N185" s="857">
        <v>0</v>
      </c>
      <c r="O185" s="857">
        <v>0</v>
      </c>
      <c r="P185" s="857">
        <v>0</v>
      </c>
      <c r="Q185" s="857">
        <v>0</v>
      </c>
      <c r="R185" s="857">
        <v>0</v>
      </c>
      <c r="S185" s="857">
        <v>0</v>
      </c>
      <c r="T185" s="857">
        <v>0</v>
      </c>
      <c r="U185" s="857">
        <v>6001.9046529999996</v>
      </c>
      <c r="V185" s="857">
        <v>0</v>
      </c>
      <c r="W185" s="857">
        <v>199.90799999999999</v>
      </c>
      <c r="X185" s="1010">
        <v>0.99563612624373621</v>
      </c>
    </row>
    <row r="186" spans="1:24" ht="31.5">
      <c r="A186" s="838" t="s">
        <v>2469</v>
      </c>
      <c r="B186" s="839" t="s">
        <v>2129</v>
      </c>
      <c r="C186" s="857">
        <v>1579.633</v>
      </c>
      <c r="D186" s="857">
        <v>0</v>
      </c>
      <c r="E186" s="857">
        <v>685</v>
      </c>
      <c r="F186" s="857">
        <v>894.63300000000004</v>
      </c>
      <c r="G186" s="857">
        <v>1579.633</v>
      </c>
      <c r="H186" s="857">
        <v>1579.633</v>
      </c>
      <c r="I186" s="857">
        <v>0</v>
      </c>
      <c r="J186" s="857">
        <v>0</v>
      </c>
      <c r="K186" s="857">
        <v>0</v>
      </c>
      <c r="L186" s="857">
        <v>0</v>
      </c>
      <c r="M186" s="857">
        <v>0</v>
      </c>
      <c r="N186" s="857">
        <v>0</v>
      </c>
      <c r="O186" s="857">
        <v>0</v>
      </c>
      <c r="P186" s="857">
        <v>0</v>
      </c>
      <c r="Q186" s="857">
        <v>0</v>
      </c>
      <c r="R186" s="857">
        <v>0</v>
      </c>
      <c r="S186" s="857">
        <v>0</v>
      </c>
      <c r="T186" s="857">
        <v>0</v>
      </c>
      <c r="U186" s="857">
        <v>0</v>
      </c>
      <c r="V186" s="857">
        <v>0</v>
      </c>
      <c r="W186" s="857">
        <v>0</v>
      </c>
      <c r="X186" s="1010">
        <v>1</v>
      </c>
    </row>
    <row r="187" spans="1:24" ht="31.5">
      <c r="A187" s="838" t="s">
        <v>2469</v>
      </c>
      <c r="B187" s="840" t="s">
        <v>2130</v>
      </c>
      <c r="C187" s="857">
        <v>5472.7860000000001</v>
      </c>
      <c r="D187" s="857">
        <v>0</v>
      </c>
      <c r="E187" s="857">
        <v>4453</v>
      </c>
      <c r="F187" s="857">
        <v>1019.7859999999999</v>
      </c>
      <c r="G187" s="857">
        <v>5472.7860000000001</v>
      </c>
      <c r="H187" s="857">
        <v>0</v>
      </c>
      <c r="I187" s="857">
        <v>0</v>
      </c>
      <c r="J187" s="857">
        <v>0</v>
      </c>
      <c r="K187" s="857">
        <v>0</v>
      </c>
      <c r="L187" s="857">
        <v>0</v>
      </c>
      <c r="M187" s="857">
        <v>0</v>
      </c>
      <c r="N187" s="857">
        <v>0</v>
      </c>
      <c r="O187" s="857">
        <v>0</v>
      </c>
      <c r="P187" s="857">
        <v>0</v>
      </c>
      <c r="Q187" s="857">
        <v>0</v>
      </c>
      <c r="R187" s="857">
        <v>0</v>
      </c>
      <c r="S187" s="857">
        <v>0</v>
      </c>
      <c r="T187" s="857">
        <v>0</v>
      </c>
      <c r="U187" s="857">
        <v>5272.8779999999997</v>
      </c>
      <c r="V187" s="857">
        <v>0</v>
      </c>
      <c r="W187" s="857">
        <v>199.90799999999999</v>
      </c>
      <c r="X187" s="1010">
        <v>1</v>
      </c>
    </row>
    <row r="188" spans="1:24" ht="31.5">
      <c r="A188" s="838" t="s">
        <v>2469</v>
      </c>
      <c r="B188" s="840" t="s">
        <v>2131</v>
      </c>
      <c r="C188" s="857">
        <v>773.79</v>
      </c>
      <c r="D188" s="857">
        <v>0</v>
      </c>
      <c r="E188" s="857">
        <v>749</v>
      </c>
      <c r="F188" s="857">
        <v>24.79</v>
      </c>
      <c r="G188" s="857">
        <v>729.02665300000001</v>
      </c>
      <c r="H188" s="857">
        <v>0</v>
      </c>
      <c r="I188" s="857">
        <v>0</v>
      </c>
      <c r="J188" s="857">
        <v>0</v>
      </c>
      <c r="K188" s="857">
        <v>0</v>
      </c>
      <c r="L188" s="857">
        <v>0</v>
      </c>
      <c r="M188" s="857">
        <v>0</v>
      </c>
      <c r="N188" s="857">
        <v>0</v>
      </c>
      <c r="O188" s="857">
        <v>0</v>
      </c>
      <c r="P188" s="857">
        <v>0</v>
      </c>
      <c r="Q188" s="857">
        <v>0</v>
      </c>
      <c r="R188" s="857">
        <v>0</v>
      </c>
      <c r="S188" s="857">
        <v>0</v>
      </c>
      <c r="T188" s="857">
        <v>0</v>
      </c>
      <c r="U188" s="857">
        <v>729.02665300000001</v>
      </c>
      <c r="V188" s="857">
        <v>0</v>
      </c>
      <c r="W188" s="857">
        <v>0</v>
      </c>
      <c r="X188" s="1010">
        <v>0.94215052275165101</v>
      </c>
    </row>
    <row r="189" spans="1:24">
      <c r="A189" s="838" t="s">
        <v>2469</v>
      </c>
      <c r="B189" s="840" t="s">
        <v>2132</v>
      </c>
      <c r="C189" s="857">
        <v>2777.6280000000002</v>
      </c>
      <c r="D189" s="857">
        <v>0</v>
      </c>
      <c r="E189" s="857">
        <v>1817</v>
      </c>
      <c r="F189" s="857">
        <v>960.62800000000004</v>
      </c>
      <c r="G189" s="857">
        <v>2776.1175410000001</v>
      </c>
      <c r="H189" s="857">
        <v>2776.1175410000001</v>
      </c>
      <c r="I189" s="857">
        <v>0</v>
      </c>
      <c r="J189" s="857">
        <v>0</v>
      </c>
      <c r="K189" s="857">
        <v>0</v>
      </c>
      <c r="L189" s="857">
        <v>0</v>
      </c>
      <c r="M189" s="857">
        <v>0</v>
      </c>
      <c r="N189" s="857">
        <v>0</v>
      </c>
      <c r="O189" s="857">
        <v>0</v>
      </c>
      <c r="P189" s="857">
        <v>0</v>
      </c>
      <c r="Q189" s="857">
        <v>0</v>
      </c>
      <c r="R189" s="857">
        <v>0</v>
      </c>
      <c r="S189" s="857">
        <v>0</v>
      </c>
      <c r="T189" s="857">
        <v>0</v>
      </c>
      <c r="U189" s="857">
        <v>0</v>
      </c>
      <c r="V189" s="857">
        <v>0</v>
      </c>
      <c r="W189" s="857">
        <v>0</v>
      </c>
      <c r="X189" s="1010">
        <v>0.99945620543859726</v>
      </c>
    </row>
    <row r="190" spans="1:24">
      <c r="A190" s="838" t="s">
        <v>2497</v>
      </c>
      <c r="B190" s="840" t="s">
        <v>1665</v>
      </c>
      <c r="C190" s="857">
        <v>6729.8469999999998</v>
      </c>
      <c r="D190" s="857">
        <v>687.22699999999998</v>
      </c>
      <c r="E190" s="857">
        <v>3999</v>
      </c>
      <c r="F190" s="857">
        <v>2043.62</v>
      </c>
      <c r="G190" s="857">
        <v>6722.4108139999998</v>
      </c>
      <c r="H190" s="857">
        <v>80.730999999999995</v>
      </c>
      <c r="I190" s="857">
        <v>0</v>
      </c>
      <c r="J190" s="857">
        <v>52.622</v>
      </c>
      <c r="K190" s="857">
        <v>0</v>
      </c>
      <c r="L190" s="857">
        <v>0</v>
      </c>
      <c r="M190" s="857">
        <v>0</v>
      </c>
      <c r="N190" s="857">
        <v>0</v>
      </c>
      <c r="O190" s="857">
        <v>0</v>
      </c>
      <c r="P190" s="857">
        <v>60.988</v>
      </c>
      <c r="Q190" s="857">
        <v>0</v>
      </c>
      <c r="R190" s="857">
        <v>0</v>
      </c>
      <c r="S190" s="857">
        <v>0</v>
      </c>
      <c r="T190" s="857">
        <v>0</v>
      </c>
      <c r="U190" s="857">
        <v>4558.4620000000004</v>
      </c>
      <c r="V190" s="857">
        <v>0</v>
      </c>
      <c r="W190" s="857">
        <v>1969.607814</v>
      </c>
      <c r="X190" s="1010">
        <v>0.99889504382491912</v>
      </c>
    </row>
    <row r="191" spans="1:24">
      <c r="A191" s="838" t="s">
        <v>2469</v>
      </c>
      <c r="B191" s="839" t="s">
        <v>2133</v>
      </c>
      <c r="C191" s="857">
        <v>6729.8469999999998</v>
      </c>
      <c r="D191" s="857">
        <v>687.22699999999998</v>
      </c>
      <c r="E191" s="857">
        <v>3999</v>
      </c>
      <c r="F191" s="857">
        <v>2043.62</v>
      </c>
      <c r="G191" s="857">
        <v>6722.4108139999998</v>
      </c>
      <c r="H191" s="857">
        <v>80.730999999999995</v>
      </c>
      <c r="I191" s="857">
        <v>0</v>
      </c>
      <c r="J191" s="857">
        <v>52.622</v>
      </c>
      <c r="K191" s="857">
        <v>0</v>
      </c>
      <c r="L191" s="857">
        <v>0</v>
      </c>
      <c r="M191" s="857">
        <v>0</v>
      </c>
      <c r="N191" s="857">
        <v>0</v>
      </c>
      <c r="O191" s="857">
        <v>0</v>
      </c>
      <c r="P191" s="857">
        <v>60.988</v>
      </c>
      <c r="Q191" s="857">
        <v>0</v>
      </c>
      <c r="R191" s="857">
        <v>0</v>
      </c>
      <c r="S191" s="857">
        <v>0</v>
      </c>
      <c r="T191" s="857">
        <v>0</v>
      </c>
      <c r="U191" s="857">
        <v>4558.4620000000004</v>
      </c>
      <c r="V191" s="857">
        <v>0</v>
      </c>
      <c r="W191" s="857">
        <v>1969.607814</v>
      </c>
      <c r="X191" s="1010">
        <v>0.99889504382491912</v>
      </c>
    </row>
    <row r="192" spans="1:24">
      <c r="A192" s="838" t="s">
        <v>2498</v>
      </c>
      <c r="B192" s="840" t="s">
        <v>1960</v>
      </c>
      <c r="C192" s="857">
        <v>5378.2920000000004</v>
      </c>
      <c r="D192" s="857">
        <v>0</v>
      </c>
      <c r="E192" s="857">
        <v>3904</v>
      </c>
      <c r="F192" s="857">
        <v>1474.2919999999999</v>
      </c>
      <c r="G192" s="857">
        <v>5113.4633270000004</v>
      </c>
      <c r="H192" s="857">
        <v>0</v>
      </c>
      <c r="I192" s="857">
        <v>0</v>
      </c>
      <c r="J192" s="857">
        <v>0</v>
      </c>
      <c r="K192" s="857">
        <v>0</v>
      </c>
      <c r="L192" s="857">
        <v>0</v>
      </c>
      <c r="M192" s="857">
        <v>0</v>
      </c>
      <c r="N192" s="857">
        <v>0</v>
      </c>
      <c r="O192" s="857">
        <v>0</v>
      </c>
      <c r="P192" s="857">
        <v>0</v>
      </c>
      <c r="Q192" s="857">
        <v>293.78031099999998</v>
      </c>
      <c r="R192" s="857">
        <v>0</v>
      </c>
      <c r="S192" s="857">
        <v>0</v>
      </c>
      <c r="T192" s="857">
        <v>293.78031099999998</v>
      </c>
      <c r="U192" s="857">
        <v>4819.683016</v>
      </c>
      <c r="V192" s="857">
        <v>0</v>
      </c>
      <c r="W192" s="857">
        <v>0</v>
      </c>
      <c r="X192" s="1010">
        <v>0.95075970717097547</v>
      </c>
    </row>
    <row r="193" spans="1:24">
      <c r="A193" s="838" t="s">
        <v>2469</v>
      </c>
      <c r="B193" s="839" t="s">
        <v>2256</v>
      </c>
      <c r="C193" s="857">
        <v>366.05700000000002</v>
      </c>
      <c r="D193" s="857">
        <v>0</v>
      </c>
      <c r="E193" s="857">
        <v>350</v>
      </c>
      <c r="F193" s="857">
        <v>16.056999999999999</v>
      </c>
      <c r="G193" s="857">
        <v>293.78031099999998</v>
      </c>
      <c r="H193" s="857">
        <v>0</v>
      </c>
      <c r="I193" s="857">
        <v>0</v>
      </c>
      <c r="J193" s="857">
        <v>0</v>
      </c>
      <c r="K193" s="857">
        <v>0</v>
      </c>
      <c r="L193" s="857">
        <v>0</v>
      </c>
      <c r="M193" s="857">
        <v>0</v>
      </c>
      <c r="N193" s="857">
        <v>0</v>
      </c>
      <c r="O193" s="857">
        <v>0</v>
      </c>
      <c r="P193" s="857">
        <v>0</v>
      </c>
      <c r="Q193" s="857">
        <v>293.78031099999998</v>
      </c>
      <c r="R193" s="857">
        <v>0</v>
      </c>
      <c r="S193" s="857">
        <v>0</v>
      </c>
      <c r="T193" s="857">
        <v>293.78031099999998</v>
      </c>
      <c r="U193" s="857">
        <v>0</v>
      </c>
      <c r="V193" s="857">
        <v>0</v>
      </c>
      <c r="W193" s="857">
        <v>0</v>
      </c>
      <c r="X193" s="1010">
        <v>0.80255345752164275</v>
      </c>
    </row>
    <row r="194" spans="1:24">
      <c r="A194" s="838" t="s">
        <v>2469</v>
      </c>
      <c r="B194" s="840" t="s">
        <v>2134</v>
      </c>
      <c r="C194" s="857">
        <v>5012.2349999999997</v>
      </c>
      <c r="D194" s="857">
        <v>0</v>
      </c>
      <c r="E194" s="857">
        <v>3554</v>
      </c>
      <c r="F194" s="857">
        <v>1458.2349999999999</v>
      </c>
      <c r="G194" s="857">
        <v>4819.683016</v>
      </c>
      <c r="H194" s="857">
        <v>0</v>
      </c>
      <c r="I194" s="857">
        <v>0</v>
      </c>
      <c r="J194" s="857">
        <v>0</v>
      </c>
      <c r="K194" s="857">
        <v>0</v>
      </c>
      <c r="L194" s="857">
        <v>0</v>
      </c>
      <c r="M194" s="857">
        <v>0</v>
      </c>
      <c r="N194" s="857">
        <v>0</v>
      </c>
      <c r="O194" s="857">
        <v>0</v>
      </c>
      <c r="P194" s="857">
        <v>0</v>
      </c>
      <c r="Q194" s="857">
        <v>0</v>
      </c>
      <c r="R194" s="857">
        <v>0</v>
      </c>
      <c r="S194" s="857">
        <v>0</v>
      </c>
      <c r="T194" s="857">
        <v>0</v>
      </c>
      <c r="U194" s="857">
        <v>4819.683016</v>
      </c>
      <c r="V194" s="857">
        <v>0</v>
      </c>
      <c r="W194" s="857">
        <v>0</v>
      </c>
      <c r="X194" s="1010">
        <v>0.96158360811095256</v>
      </c>
    </row>
    <row r="195" spans="1:24">
      <c r="A195" s="838" t="s">
        <v>2499</v>
      </c>
      <c r="B195" s="840" t="s">
        <v>2192</v>
      </c>
      <c r="C195" s="857">
        <v>2712.8960000000002</v>
      </c>
      <c r="D195" s="857">
        <v>0</v>
      </c>
      <c r="E195" s="857">
        <v>2422.2399999999998</v>
      </c>
      <c r="F195" s="857">
        <v>290.65600000000001</v>
      </c>
      <c r="G195" s="857">
        <v>2712.8960000000002</v>
      </c>
      <c r="H195" s="857">
        <v>42.24</v>
      </c>
      <c r="I195" s="857">
        <v>0</v>
      </c>
      <c r="J195" s="857">
        <v>6.39</v>
      </c>
      <c r="K195" s="857">
        <v>0</v>
      </c>
      <c r="L195" s="857">
        <v>0</v>
      </c>
      <c r="M195" s="857">
        <v>0</v>
      </c>
      <c r="N195" s="857">
        <v>0</v>
      </c>
      <c r="O195" s="857">
        <v>0</v>
      </c>
      <c r="P195" s="857">
        <v>0</v>
      </c>
      <c r="Q195" s="857">
        <v>0</v>
      </c>
      <c r="R195" s="857">
        <v>0</v>
      </c>
      <c r="S195" s="857">
        <v>0</v>
      </c>
      <c r="T195" s="857">
        <v>0</v>
      </c>
      <c r="U195" s="857">
        <v>2664.2660000000001</v>
      </c>
      <c r="V195" s="857">
        <v>0</v>
      </c>
      <c r="W195" s="857">
        <v>0</v>
      </c>
      <c r="X195" s="1010">
        <v>1</v>
      </c>
    </row>
    <row r="196" spans="1:24" ht="31.5">
      <c r="A196" s="838" t="s">
        <v>2469</v>
      </c>
      <c r="B196" s="839" t="s">
        <v>2135</v>
      </c>
      <c r="C196" s="857">
        <v>2712.8960000000002</v>
      </c>
      <c r="D196" s="857">
        <v>0</v>
      </c>
      <c r="E196" s="857">
        <v>2422.2399999999998</v>
      </c>
      <c r="F196" s="857">
        <v>290.65600000000001</v>
      </c>
      <c r="G196" s="857">
        <v>2712.8960000000002</v>
      </c>
      <c r="H196" s="857">
        <v>42.24</v>
      </c>
      <c r="I196" s="857">
        <v>0</v>
      </c>
      <c r="J196" s="857">
        <v>6.39</v>
      </c>
      <c r="K196" s="857">
        <v>0</v>
      </c>
      <c r="L196" s="857">
        <v>0</v>
      </c>
      <c r="M196" s="857">
        <v>0</v>
      </c>
      <c r="N196" s="857">
        <v>0</v>
      </c>
      <c r="O196" s="857">
        <v>0</v>
      </c>
      <c r="P196" s="857">
        <v>0</v>
      </c>
      <c r="Q196" s="857">
        <v>0</v>
      </c>
      <c r="R196" s="857">
        <v>0</v>
      </c>
      <c r="S196" s="857">
        <v>0</v>
      </c>
      <c r="T196" s="857">
        <v>0</v>
      </c>
      <c r="U196" s="857">
        <v>2664.2660000000001</v>
      </c>
      <c r="V196" s="857">
        <v>0</v>
      </c>
      <c r="W196" s="857">
        <v>0</v>
      </c>
      <c r="X196" s="1010">
        <v>1</v>
      </c>
    </row>
    <row r="197" spans="1:24">
      <c r="A197" s="838" t="s">
        <v>2500</v>
      </c>
      <c r="B197" s="840" t="s">
        <v>2501</v>
      </c>
      <c r="C197" s="857">
        <v>1697.537</v>
      </c>
      <c r="D197" s="857">
        <v>0</v>
      </c>
      <c r="E197" s="857">
        <v>1609</v>
      </c>
      <c r="F197" s="857">
        <v>88.537000000000006</v>
      </c>
      <c r="G197" s="857">
        <v>1697.537</v>
      </c>
      <c r="H197" s="857">
        <v>0</v>
      </c>
      <c r="I197" s="857">
        <v>300</v>
      </c>
      <c r="J197" s="857">
        <v>0</v>
      </c>
      <c r="K197" s="857">
        <v>0</v>
      </c>
      <c r="L197" s="857">
        <v>0</v>
      </c>
      <c r="M197" s="857">
        <v>0</v>
      </c>
      <c r="N197" s="857">
        <v>0</v>
      </c>
      <c r="O197" s="857">
        <v>0</v>
      </c>
      <c r="P197" s="857">
        <v>0</v>
      </c>
      <c r="Q197" s="857">
        <v>0</v>
      </c>
      <c r="R197" s="857">
        <v>0</v>
      </c>
      <c r="S197" s="857">
        <v>0</v>
      </c>
      <c r="T197" s="857">
        <v>0</v>
      </c>
      <c r="U197" s="857">
        <v>1397.537</v>
      </c>
      <c r="V197" s="857">
        <v>0</v>
      </c>
      <c r="W197" s="857">
        <v>0</v>
      </c>
      <c r="X197" s="1010">
        <v>1</v>
      </c>
    </row>
    <row r="198" spans="1:24" ht="31.5">
      <c r="A198" s="838" t="s">
        <v>2469</v>
      </c>
      <c r="B198" s="839" t="s">
        <v>2136</v>
      </c>
      <c r="C198" s="857">
        <v>1697.537</v>
      </c>
      <c r="D198" s="857">
        <v>0</v>
      </c>
      <c r="E198" s="857">
        <v>1609</v>
      </c>
      <c r="F198" s="857">
        <v>88.537000000000006</v>
      </c>
      <c r="G198" s="857">
        <v>1697.537</v>
      </c>
      <c r="H198" s="857">
        <v>0</v>
      </c>
      <c r="I198" s="857">
        <v>300</v>
      </c>
      <c r="J198" s="857">
        <v>0</v>
      </c>
      <c r="K198" s="857">
        <v>0</v>
      </c>
      <c r="L198" s="857">
        <v>0</v>
      </c>
      <c r="M198" s="857">
        <v>0</v>
      </c>
      <c r="N198" s="857">
        <v>0</v>
      </c>
      <c r="O198" s="857">
        <v>0</v>
      </c>
      <c r="P198" s="857">
        <v>0</v>
      </c>
      <c r="Q198" s="857">
        <v>0</v>
      </c>
      <c r="R198" s="857">
        <v>0</v>
      </c>
      <c r="S198" s="857">
        <v>0</v>
      </c>
      <c r="T198" s="857">
        <v>0</v>
      </c>
      <c r="U198" s="857">
        <v>1397.537</v>
      </c>
      <c r="V198" s="857">
        <v>0</v>
      </c>
      <c r="W198" s="857">
        <v>0</v>
      </c>
      <c r="X198" s="1010">
        <v>1</v>
      </c>
    </row>
    <row r="199" spans="1:24">
      <c r="A199" s="838" t="s">
        <v>2502</v>
      </c>
      <c r="B199" s="840" t="s">
        <v>2503</v>
      </c>
      <c r="C199" s="857">
        <v>1120.279</v>
      </c>
      <c r="D199" s="857">
        <v>0</v>
      </c>
      <c r="E199" s="857">
        <v>805</v>
      </c>
      <c r="F199" s="857">
        <v>315.279</v>
      </c>
      <c r="G199" s="857">
        <v>1120.279</v>
      </c>
      <c r="H199" s="857">
        <v>0</v>
      </c>
      <c r="I199" s="857">
        <v>0</v>
      </c>
      <c r="J199" s="857">
        <v>0</v>
      </c>
      <c r="K199" s="857">
        <v>0</v>
      </c>
      <c r="L199" s="857">
        <v>0</v>
      </c>
      <c r="M199" s="857">
        <v>0</v>
      </c>
      <c r="N199" s="857">
        <v>0</v>
      </c>
      <c r="O199" s="857">
        <v>0</v>
      </c>
      <c r="P199" s="857">
        <v>0</v>
      </c>
      <c r="Q199" s="857">
        <v>0</v>
      </c>
      <c r="R199" s="857">
        <v>0</v>
      </c>
      <c r="S199" s="857">
        <v>0</v>
      </c>
      <c r="T199" s="857">
        <v>0</v>
      </c>
      <c r="U199" s="857">
        <v>1014.7190000000001</v>
      </c>
      <c r="V199" s="857">
        <v>0</v>
      </c>
      <c r="W199" s="857">
        <v>105.56</v>
      </c>
      <c r="X199" s="1010">
        <v>1</v>
      </c>
    </row>
    <row r="200" spans="1:24" s="524" customFormat="1" ht="31.5">
      <c r="A200" s="759" t="s">
        <v>2469</v>
      </c>
      <c r="B200" s="832" t="s">
        <v>2137</v>
      </c>
      <c r="C200" s="877">
        <v>1120.279</v>
      </c>
      <c r="D200" s="877">
        <v>0</v>
      </c>
      <c r="E200" s="877">
        <v>805</v>
      </c>
      <c r="F200" s="877">
        <v>315.279</v>
      </c>
      <c r="G200" s="877">
        <v>1120.279</v>
      </c>
      <c r="H200" s="877">
        <v>0</v>
      </c>
      <c r="I200" s="877">
        <v>0</v>
      </c>
      <c r="J200" s="877">
        <v>0</v>
      </c>
      <c r="K200" s="877">
        <v>0</v>
      </c>
      <c r="L200" s="877">
        <v>0</v>
      </c>
      <c r="M200" s="877">
        <v>0</v>
      </c>
      <c r="N200" s="877">
        <v>0</v>
      </c>
      <c r="O200" s="877">
        <v>0</v>
      </c>
      <c r="P200" s="877">
        <v>0</v>
      </c>
      <c r="Q200" s="877">
        <v>0</v>
      </c>
      <c r="R200" s="877">
        <v>0</v>
      </c>
      <c r="S200" s="877">
        <v>0</v>
      </c>
      <c r="T200" s="877">
        <v>0</v>
      </c>
      <c r="U200" s="877">
        <v>1014.7190000000001</v>
      </c>
      <c r="V200" s="877">
        <v>0</v>
      </c>
      <c r="W200" s="877">
        <v>105.56</v>
      </c>
      <c r="X200" s="1010">
        <v>1</v>
      </c>
    </row>
    <row r="201" spans="1:24" s="524" customFormat="1">
      <c r="A201" s="759" t="s">
        <v>2504</v>
      </c>
      <c r="B201" s="512" t="s">
        <v>1486</v>
      </c>
      <c r="C201" s="877">
        <v>1743.64</v>
      </c>
      <c r="D201" s="877">
        <v>0</v>
      </c>
      <c r="E201" s="877">
        <v>1508</v>
      </c>
      <c r="F201" s="877">
        <v>235.64</v>
      </c>
      <c r="G201" s="877">
        <v>1583.64</v>
      </c>
      <c r="H201" s="877">
        <v>0</v>
      </c>
      <c r="I201" s="877">
        <v>0</v>
      </c>
      <c r="J201" s="877">
        <v>0</v>
      </c>
      <c r="K201" s="877">
        <v>0</v>
      </c>
      <c r="L201" s="877">
        <v>0</v>
      </c>
      <c r="M201" s="877">
        <v>0</v>
      </c>
      <c r="N201" s="877">
        <v>0</v>
      </c>
      <c r="O201" s="877">
        <v>0</v>
      </c>
      <c r="P201" s="877">
        <v>0</v>
      </c>
      <c r="Q201" s="877">
        <v>0</v>
      </c>
      <c r="R201" s="877">
        <v>0</v>
      </c>
      <c r="S201" s="877">
        <v>0</v>
      </c>
      <c r="T201" s="877">
        <v>0</v>
      </c>
      <c r="U201" s="877">
        <v>1583.64</v>
      </c>
      <c r="V201" s="877">
        <v>0</v>
      </c>
      <c r="W201" s="877">
        <v>0</v>
      </c>
      <c r="X201" s="1010">
        <v>0.90823793902411054</v>
      </c>
    </row>
    <row r="202" spans="1:24" s="524" customFormat="1">
      <c r="A202" s="759" t="s">
        <v>2469</v>
      </c>
      <c r="B202" s="832" t="s">
        <v>2138</v>
      </c>
      <c r="C202" s="877">
        <v>1743.64</v>
      </c>
      <c r="D202" s="877">
        <v>0</v>
      </c>
      <c r="E202" s="877">
        <v>1508</v>
      </c>
      <c r="F202" s="877">
        <v>235.64</v>
      </c>
      <c r="G202" s="877">
        <v>1583.64</v>
      </c>
      <c r="H202" s="877">
        <v>0</v>
      </c>
      <c r="I202" s="877">
        <v>0</v>
      </c>
      <c r="J202" s="877">
        <v>0</v>
      </c>
      <c r="K202" s="877">
        <v>0</v>
      </c>
      <c r="L202" s="877">
        <v>0</v>
      </c>
      <c r="M202" s="877">
        <v>0</v>
      </c>
      <c r="N202" s="877">
        <v>0</v>
      </c>
      <c r="O202" s="877">
        <v>0</v>
      </c>
      <c r="P202" s="877">
        <v>0</v>
      </c>
      <c r="Q202" s="877">
        <v>0</v>
      </c>
      <c r="R202" s="877">
        <v>0</v>
      </c>
      <c r="S202" s="877">
        <v>0</v>
      </c>
      <c r="T202" s="877">
        <v>0</v>
      </c>
      <c r="U202" s="877">
        <v>1583.64</v>
      </c>
      <c r="V202" s="877">
        <v>0</v>
      </c>
      <c r="W202" s="877">
        <v>0</v>
      </c>
      <c r="X202" s="1010">
        <v>0.90823793902411054</v>
      </c>
    </row>
    <row r="203" spans="1:24">
      <c r="A203" s="838" t="s">
        <v>2505</v>
      </c>
      <c r="B203" s="840" t="s">
        <v>1578</v>
      </c>
      <c r="C203" s="857">
        <v>140</v>
      </c>
      <c r="D203" s="857">
        <v>0</v>
      </c>
      <c r="E203" s="857">
        <v>140</v>
      </c>
      <c r="F203" s="857">
        <v>0</v>
      </c>
      <c r="G203" s="857">
        <v>140</v>
      </c>
      <c r="H203" s="857">
        <v>0</v>
      </c>
      <c r="I203" s="857">
        <v>0</v>
      </c>
      <c r="J203" s="857">
        <v>0</v>
      </c>
      <c r="K203" s="857">
        <v>0</v>
      </c>
      <c r="L203" s="857">
        <v>0</v>
      </c>
      <c r="M203" s="857">
        <v>0</v>
      </c>
      <c r="N203" s="857">
        <v>0</v>
      </c>
      <c r="O203" s="857">
        <v>0</v>
      </c>
      <c r="P203" s="857">
        <v>0</v>
      </c>
      <c r="Q203" s="857">
        <v>0</v>
      </c>
      <c r="R203" s="857">
        <v>0</v>
      </c>
      <c r="S203" s="857">
        <v>0</v>
      </c>
      <c r="T203" s="857">
        <v>0</v>
      </c>
      <c r="U203" s="857">
        <v>140</v>
      </c>
      <c r="V203" s="857">
        <v>0</v>
      </c>
      <c r="W203" s="857">
        <v>0</v>
      </c>
      <c r="X203" s="1010">
        <v>1</v>
      </c>
    </row>
    <row r="204" spans="1:24">
      <c r="A204" s="838" t="s">
        <v>2469</v>
      </c>
      <c r="B204" s="839" t="s">
        <v>2139</v>
      </c>
      <c r="C204" s="857">
        <v>140</v>
      </c>
      <c r="D204" s="857">
        <v>0</v>
      </c>
      <c r="E204" s="857">
        <v>140</v>
      </c>
      <c r="F204" s="857">
        <v>0</v>
      </c>
      <c r="G204" s="857">
        <v>140</v>
      </c>
      <c r="H204" s="857">
        <v>0</v>
      </c>
      <c r="I204" s="857">
        <v>0</v>
      </c>
      <c r="J204" s="857">
        <v>0</v>
      </c>
      <c r="K204" s="857">
        <v>0</v>
      </c>
      <c r="L204" s="857">
        <v>0</v>
      </c>
      <c r="M204" s="857">
        <v>0</v>
      </c>
      <c r="N204" s="857">
        <v>0</v>
      </c>
      <c r="O204" s="857">
        <v>0</v>
      </c>
      <c r="P204" s="857">
        <v>0</v>
      </c>
      <c r="Q204" s="857">
        <v>0</v>
      </c>
      <c r="R204" s="857">
        <v>0</v>
      </c>
      <c r="S204" s="857">
        <v>0</v>
      </c>
      <c r="T204" s="857">
        <v>0</v>
      </c>
      <c r="U204" s="857">
        <v>140</v>
      </c>
      <c r="V204" s="857">
        <v>0</v>
      </c>
      <c r="W204" s="857">
        <v>0</v>
      </c>
      <c r="X204" s="1010">
        <v>1</v>
      </c>
    </row>
    <row r="205" spans="1:24">
      <c r="A205" s="838" t="s">
        <v>2506</v>
      </c>
      <c r="B205" s="840" t="s">
        <v>2507</v>
      </c>
      <c r="C205" s="857">
        <v>1970.4670000000001</v>
      </c>
      <c r="D205" s="857">
        <v>55.457999999999998</v>
      </c>
      <c r="E205" s="857">
        <v>1789.7650000000001</v>
      </c>
      <c r="F205" s="857">
        <v>125.244</v>
      </c>
      <c r="G205" s="857">
        <v>1970.4658509999999</v>
      </c>
      <c r="H205" s="857">
        <v>0</v>
      </c>
      <c r="I205" s="857">
        <v>0</v>
      </c>
      <c r="J205" s="857">
        <v>0</v>
      </c>
      <c r="K205" s="857">
        <v>0</v>
      </c>
      <c r="L205" s="857">
        <v>0</v>
      </c>
      <c r="M205" s="857">
        <v>0</v>
      </c>
      <c r="N205" s="857">
        <v>0</v>
      </c>
      <c r="O205" s="857">
        <v>0</v>
      </c>
      <c r="P205" s="857">
        <v>0</v>
      </c>
      <c r="Q205" s="857">
        <v>0</v>
      </c>
      <c r="R205" s="857">
        <v>0</v>
      </c>
      <c r="S205" s="857">
        <v>0</v>
      </c>
      <c r="T205" s="857">
        <v>0</v>
      </c>
      <c r="U205" s="857">
        <v>1970.4658509999999</v>
      </c>
      <c r="V205" s="857">
        <v>0</v>
      </c>
      <c r="W205" s="857">
        <v>0</v>
      </c>
      <c r="X205" s="1010">
        <v>0.99999941688949867</v>
      </c>
    </row>
    <row r="206" spans="1:24">
      <c r="A206" s="838" t="s">
        <v>2469</v>
      </c>
      <c r="B206" s="839" t="s">
        <v>2140</v>
      </c>
      <c r="C206" s="857">
        <v>1970.4670000000001</v>
      </c>
      <c r="D206" s="857">
        <v>55.457999999999998</v>
      </c>
      <c r="E206" s="857">
        <v>1789.7650000000001</v>
      </c>
      <c r="F206" s="857">
        <v>125.244</v>
      </c>
      <c r="G206" s="857">
        <v>1970.4658509999999</v>
      </c>
      <c r="H206" s="857">
        <v>0</v>
      </c>
      <c r="I206" s="857">
        <v>0</v>
      </c>
      <c r="J206" s="857">
        <v>0</v>
      </c>
      <c r="K206" s="857">
        <v>0</v>
      </c>
      <c r="L206" s="857">
        <v>0</v>
      </c>
      <c r="M206" s="857">
        <v>0</v>
      </c>
      <c r="N206" s="857">
        <v>0</v>
      </c>
      <c r="O206" s="857">
        <v>0</v>
      </c>
      <c r="P206" s="857">
        <v>0</v>
      </c>
      <c r="Q206" s="857">
        <v>0</v>
      </c>
      <c r="R206" s="857">
        <v>0</v>
      </c>
      <c r="S206" s="857">
        <v>0</v>
      </c>
      <c r="T206" s="857">
        <v>0</v>
      </c>
      <c r="U206" s="857">
        <v>1970.4658509999999</v>
      </c>
      <c r="V206" s="857">
        <v>0</v>
      </c>
      <c r="W206" s="857">
        <v>0</v>
      </c>
      <c r="X206" s="1010">
        <v>0.99999941688949867</v>
      </c>
    </row>
    <row r="207" spans="1:24">
      <c r="A207" s="838" t="s">
        <v>2508</v>
      </c>
      <c r="B207" s="840" t="s">
        <v>2509</v>
      </c>
      <c r="C207" s="857">
        <v>1058.2180000000001</v>
      </c>
      <c r="D207" s="857">
        <v>0</v>
      </c>
      <c r="E207" s="857">
        <v>272</v>
      </c>
      <c r="F207" s="857">
        <v>786.21799999999996</v>
      </c>
      <c r="G207" s="857">
        <v>1058.2180000000001</v>
      </c>
      <c r="H207" s="857">
        <v>0</v>
      </c>
      <c r="I207" s="857">
        <v>0</v>
      </c>
      <c r="J207" s="857">
        <v>0</v>
      </c>
      <c r="K207" s="857">
        <v>0</v>
      </c>
      <c r="L207" s="857">
        <v>0</v>
      </c>
      <c r="M207" s="857">
        <v>0</v>
      </c>
      <c r="N207" s="857">
        <v>0</v>
      </c>
      <c r="O207" s="857">
        <v>0</v>
      </c>
      <c r="P207" s="857">
        <v>0</v>
      </c>
      <c r="Q207" s="857">
        <v>0</v>
      </c>
      <c r="R207" s="857">
        <v>0</v>
      </c>
      <c r="S207" s="857">
        <v>0</v>
      </c>
      <c r="T207" s="857">
        <v>0</v>
      </c>
      <c r="U207" s="857">
        <v>413.21800000000002</v>
      </c>
      <c r="V207" s="857">
        <v>0</v>
      </c>
      <c r="W207" s="857">
        <v>645</v>
      </c>
      <c r="X207" s="1010">
        <v>1</v>
      </c>
    </row>
    <row r="208" spans="1:24">
      <c r="A208" s="838" t="s">
        <v>2469</v>
      </c>
      <c r="B208" s="839" t="s">
        <v>2141</v>
      </c>
      <c r="C208" s="857">
        <v>1058.2180000000001</v>
      </c>
      <c r="D208" s="857">
        <v>0</v>
      </c>
      <c r="E208" s="857">
        <v>272</v>
      </c>
      <c r="F208" s="857">
        <v>786.21799999999996</v>
      </c>
      <c r="G208" s="857">
        <v>1058.2180000000001</v>
      </c>
      <c r="H208" s="857">
        <v>0</v>
      </c>
      <c r="I208" s="857">
        <v>0</v>
      </c>
      <c r="J208" s="857">
        <v>0</v>
      </c>
      <c r="K208" s="857">
        <v>0</v>
      </c>
      <c r="L208" s="857">
        <v>0</v>
      </c>
      <c r="M208" s="857">
        <v>0</v>
      </c>
      <c r="N208" s="857">
        <v>0</v>
      </c>
      <c r="O208" s="857">
        <v>0</v>
      </c>
      <c r="P208" s="857">
        <v>0</v>
      </c>
      <c r="Q208" s="857">
        <v>0</v>
      </c>
      <c r="R208" s="857">
        <v>0</v>
      </c>
      <c r="S208" s="857">
        <v>0</v>
      </c>
      <c r="T208" s="857">
        <v>0</v>
      </c>
      <c r="U208" s="857">
        <v>413.21800000000002</v>
      </c>
      <c r="V208" s="857">
        <v>0</v>
      </c>
      <c r="W208" s="857">
        <v>645</v>
      </c>
      <c r="X208" s="1010">
        <v>1</v>
      </c>
    </row>
    <row r="209" spans="1:24">
      <c r="A209" s="838" t="s">
        <v>2510</v>
      </c>
      <c r="B209" s="840" t="s">
        <v>2511</v>
      </c>
      <c r="C209" s="857">
        <v>765.85199999999998</v>
      </c>
      <c r="D209" s="857">
        <v>0</v>
      </c>
      <c r="E209" s="857">
        <v>507</v>
      </c>
      <c r="F209" s="857">
        <v>258.85199999999998</v>
      </c>
      <c r="G209" s="857">
        <v>765.84518000000003</v>
      </c>
      <c r="H209" s="857">
        <v>0</v>
      </c>
      <c r="I209" s="857">
        <v>0</v>
      </c>
      <c r="J209" s="857">
        <v>0</v>
      </c>
      <c r="K209" s="857">
        <v>0</v>
      </c>
      <c r="L209" s="857">
        <v>0</v>
      </c>
      <c r="M209" s="857">
        <v>0</v>
      </c>
      <c r="N209" s="857">
        <v>0</v>
      </c>
      <c r="O209" s="857">
        <v>0</v>
      </c>
      <c r="P209" s="857">
        <v>0</v>
      </c>
      <c r="Q209" s="857">
        <v>0</v>
      </c>
      <c r="R209" s="857">
        <v>0</v>
      </c>
      <c r="S209" s="857">
        <v>0</v>
      </c>
      <c r="T209" s="857">
        <v>0</v>
      </c>
      <c r="U209" s="857">
        <v>765.84518000000003</v>
      </c>
      <c r="V209" s="857">
        <v>0</v>
      </c>
      <c r="W209" s="857">
        <v>0</v>
      </c>
      <c r="X209" s="1010">
        <v>0.99999109488517368</v>
      </c>
    </row>
    <row r="210" spans="1:24">
      <c r="A210" s="838" t="s">
        <v>2469</v>
      </c>
      <c r="B210" s="839" t="s">
        <v>2142</v>
      </c>
      <c r="C210" s="857">
        <v>765.85199999999998</v>
      </c>
      <c r="D210" s="857">
        <v>0</v>
      </c>
      <c r="E210" s="857">
        <v>507</v>
      </c>
      <c r="F210" s="857">
        <v>258.85199999999998</v>
      </c>
      <c r="G210" s="857">
        <v>765.84518000000003</v>
      </c>
      <c r="H210" s="857">
        <v>0</v>
      </c>
      <c r="I210" s="857">
        <v>0</v>
      </c>
      <c r="J210" s="857">
        <v>0</v>
      </c>
      <c r="K210" s="857">
        <v>0</v>
      </c>
      <c r="L210" s="857">
        <v>0</v>
      </c>
      <c r="M210" s="857">
        <v>0</v>
      </c>
      <c r="N210" s="857">
        <v>0</v>
      </c>
      <c r="O210" s="857">
        <v>0</v>
      </c>
      <c r="P210" s="857">
        <v>0</v>
      </c>
      <c r="Q210" s="857">
        <v>0</v>
      </c>
      <c r="R210" s="857">
        <v>0</v>
      </c>
      <c r="S210" s="857">
        <v>0</v>
      </c>
      <c r="T210" s="857">
        <v>0</v>
      </c>
      <c r="U210" s="857">
        <v>765.84518000000003</v>
      </c>
      <c r="V210" s="857">
        <v>0</v>
      </c>
      <c r="W210" s="857">
        <v>0</v>
      </c>
      <c r="X210" s="1010">
        <v>0.99999109488517368</v>
      </c>
    </row>
    <row r="211" spans="1:24">
      <c r="A211" s="838" t="s">
        <v>2512</v>
      </c>
      <c r="B211" s="840" t="s">
        <v>2513</v>
      </c>
      <c r="C211" s="857">
        <v>159.51</v>
      </c>
      <c r="D211" s="857">
        <v>0</v>
      </c>
      <c r="E211" s="857">
        <v>153</v>
      </c>
      <c r="F211" s="857">
        <v>6.51</v>
      </c>
      <c r="G211" s="857">
        <v>159.09</v>
      </c>
      <c r="H211" s="857">
        <v>0</v>
      </c>
      <c r="I211" s="857">
        <v>0</v>
      </c>
      <c r="J211" s="857">
        <v>0</v>
      </c>
      <c r="K211" s="857">
        <v>0</v>
      </c>
      <c r="L211" s="857">
        <v>0</v>
      </c>
      <c r="M211" s="857">
        <v>0</v>
      </c>
      <c r="N211" s="857">
        <v>0</v>
      </c>
      <c r="O211" s="857">
        <v>0</v>
      </c>
      <c r="P211" s="857">
        <v>0</v>
      </c>
      <c r="Q211" s="857">
        <v>0</v>
      </c>
      <c r="R211" s="857">
        <v>0</v>
      </c>
      <c r="S211" s="857">
        <v>0</v>
      </c>
      <c r="T211" s="857">
        <v>0</v>
      </c>
      <c r="U211" s="857">
        <v>159.09</v>
      </c>
      <c r="V211" s="857">
        <v>0</v>
      </c>
      <c r="W211" s="857">
        <v>0</v>
      </c>
      <c r="X211" s="1010">
        <v>0.99736693624224193</v>
      </c>
    </row>
    <row r="212" spans="1:24">
      <c r="A212" s="838" t="s">
        <v>2469</v>
      </c>
      <c r="B212" s="839" t="s">
        <v>2143</v>
      </c>
      <c r="C212" s="857">
        <v>159.51</v>
      </c>
      <c r="D212" s="857">
        <v>0</v>
      </c>
      <c r="E212" s="857">
        <v>153</v>
      </c>
      <c r="F212" s="857">
        <v>6.51</v>
      </c>
      <c r="G212" s="857">
        <v>159.09</v>
      </c>
      <c r="H212" s="857">
        <v>0</v>
      </c>
      <c r="I212" s="857">
        <v>0</v>
      </c>
      <c r="J212" s="857">
        <v>0</v>
      </c>
      <c r="K212" s="857">
        <v>0</v>
      </c>
      <c r="L212" s="857">
        <v>0</v>
      </c>
      <c r="M212" s="857">
        <v>0</v>
      </c>
      <c r="N212" s="857">
        <v>0</v>
      </c>
      <c r="O212" s="857">
        <v>0</v>
      </c>
      <c r="P212" s="857">
        <v>0</v>
      </c>
      <c r="Q212" s="857">
        <v>0</v>
      </c>
      <c r="R212" s="857">
        <v>0</v>
      </c>
      <c r="S212" s="857">
        <v>0</v>
      </c>
      <c r="T212" s="857">
        <v>0</v>
      </c>
      <c r="U212" s="857">
        <v>159.09</v>
      </c>
      <c r="V212" s="857">
        <v>0</v>
      </c>
      <c r="W212" s="857">
        <v>0</v>
      </c>
      <c r="X212" s="1010">
        <v>0.99736693624224193</v>
      </c>
    </row>
    <row r="213" spans="1:24">
      <c r="A213" s="838" t="s">
        <v>2514</v>
      </c>
      <c r="B213" s="840" t="s">
        <v>1576</v>
      </c>
      <c r="C213" s="857">
        <v>332.61799999999999</v>
      </c>
      <c r="D213" s="857">
        <v>0</v>
      </c>
      <c r="E213" s="857">
        <v>301</v>
      </c>
      <c r="F213" s="857">
        <v>31.617999999999999</v>
      </c>
      <c r="G213" s="857">
        <v>332.61799999999999</v>
      </c>
      <c r="H213" s="857">
        <v>0</v>
      </c>
      <c r="I213" s="857">
        <v>0</v>
      </c>
      <c r="J213" s="857">
        <v>0</v>
      </c>
      <c r="K213" s="857">
        <v>0</v>
      </c>
      <c r="L213" s="857">
        <v>0</v>
      </c>
      <c r="M213" s="857">
        <v>0</v>
      </c>
      <c r="N213" s="857">
        <v>0</v>
      </c>
      <c r="O213" s="857">
        <v>0</v>
      </c>
      <c r="P213" s="857">
        <v>0</v>
      </c>
      <c r="Q213" s="857">
        <v>0</v>
      </c>
      <c r="R213" s="857">
        <v>0</v>
      </c>
      <c r="S213" s="857">
        <v>0</v>
      </c>
      <c r="T213" s="857">
        <v>0</v>
      </c>
      <c r="U213" s="857">
        <v>332.61799999999999</v>
      </c>
      <c r="V213" s="857">
        <v>0</v>
      </c>
      <c r="W213" s="857">
        <v>0</v>
      </c>
      <c r="X213" s="1010">
        <v>1</v>
      </c>
    </row>
    <row r="214" spans="1:24" ht="31.5">
      <c r="A214" s="838" t="s">
        <v>2469</v>
      </c>
      <c r="B214" s="839" t="s">
        <v>2144</v>
      </c>
      <c r="C214" s="857">
        <v>332.61799999999999</v>
      </c>
      <c r="D214" s="857">
        <v>0</v>
      </c>
      <c r="E214" s="857">
        <v>301</v>
      </c>
      <c r="F214" s="857">
        <v>31.617999999999999</v>
      </c>
      <c r="G214" s="857">
        <v>332.61799999999999</v>
      </c>
      <c r="H214" s="857">
        <v>0</v>
      </c>
      <c r="I214" s="857">
        <v>0</v>
      </c>
      <c r="J214" s="857">
        <v>0</v>
      </c>
      <c r="K214" s="857">
        <v>0</v>
      </c>
      <c r="L214" s="857">
        <v>0</v>
      </c>
      <c r="M214" s="857">
        <v>0</v>
      </c>
      <c r="N214" s="857">
        <v>0</v>
      </c>
      <c r="O214" s="857">
        <v>0</v>
      </c>
      <c r="P214" s="857">
        <v>0</v>
      </c>
      <c r="Q214" s="857">
        <v>0</v>
      </c>
      <c r="R214" s="857">
        <v>0</v>
      </c>
      <c r="S214" s="857">
        <v>0</v>
      </c>
      <c r="T214" s="857">
        <v>0</v>
      </c>
      <c r="U214" s="857">
        <v>332.61799999999999</v>
      </c>
      <c r="V214" s="857">
        <v>0</v>
      </c>
      <c r="W214" s="857">
        <v>0</v>
      </c>
      <c r="X214" s="1010">
        <v>1</v>
      </c>
    </row>
    <row r="215" spans="1:24">
      <c r="A215" s="838" t="s">
        <v>2515</v>
      </c>
      <c r="B215" s="840" t="s">
        <v>2516</v>
      </c>
      <c r="C215" s="857">
        <v>1157.7629999999999</v>
      </c>
      <c r="D215" s="857">
        <v>0</v>
      </c>
      <c r="E215" s="857">
        <v>203</v>
      </c>
      <c r="F215" s="857">
        <v>954.76300000000003</v>
      </c>
      <c r="G215" s="857">
        <v>1152.1603909999999</v>
      </c>
      <c r="H215" s="857">
        <v>0</v>
      </c>
      <c r="I215" s="857">
        <v>0</v>
      </c>
      <c r="J215" s="857">
        <v>0</v>
      </c>
      <c r="K215" s="857">
        <v>0</v>
      </c>
      <c r="L215" s="857">
        <v>0</v>
      </c>
      <c r="M215" s="857">
        <v>0</v>
      </c>
      <c r="N215" s="857">
        <v>0</v>
      </c>
      <c r="O215" s="857">
        <v>0</v>
      </c>
      <c r="P215" s="857">
        <v>0</v>
      </c>
      <c r="Q215" s="857">
        <v>334</v>
      </c>
      <c r="R215" s="857">
        <v>0</v>
      </c>
      <c r="S215" s="857">
        <v>0</v>
      </c>
      <c r="T215" s="857">
        <v>334</v>
      </c>
      <c r="U215" s="857">
        <v>818.160391</v>
      </c>
      <c r="V215" s="857">
        <v>0</v>
      </c>
      <c r="W215" s="857">
        <v>0</v>
      </c>
      <c r="X215" s="1010">
        <v>0.99516083257108745</v>
      </c>
    </row>
    <row r="216" spans="1:24">
      <c r="A216" s="838" t="s">
        <v>2469</v>
      </c>
      <c r="B216" s="839" t="s">
        <v>2145</v>
      </c>
      <c r="C216" s="857">
        <v>1157.7629999999999</v>
      </c>
      <c r="D216" s="857">
        <v>0</v>
      </c>
      <c r="E216" s="857">
        <v>203</v>
      </c>
      <c r="F216" s="857">
        <v>954.76300000000003</v>
      </c>
      <c r="G216" s="857">
        <v>1152.1603909999999</v>
      </c>
      <c r="H216" s="857">
        <v>0</v>
      </c>
      <c r="I216" s="857">
        <v>0</v>
      </c>
      <c r="J216" s="857">
        <v>0</v>
      </c>
      <c r="K216" s="857">
        <v>0</v>
      </c>
      <c r="L216" s="857">
        <v>0</v>
      </c>
      <c r="M216" s="857">
        <v>0</v>
      </c>
      <c r="N216" s="857">
        <v>0</v>
      </c>
      <c r="O216" s="857">
        <v>0</v>
      </c>
      <c r="P216" s="857">
        <v>0</v>
      </c>
      <c r="Q216" s="857">
        <v>334</v>
      </c>
      <c r="R216" s="857">
        <v>0</v>
      </c>
      <c r="S216" s="857">
        <v>0</v>
      </c>
      <c r="T216" s="857">
        <v>334</v>
      </c>
      <c r="U216" s="857">
        <v>818.160391</v>
      </c>
      <c r="V216" s="857">
        <v>0</v>
      </c>
      <c r="W216" s="857">
        <v>0</v>
      </c>
      <c r="X216" s="1010">
        <v>0.99516083257108745</v>
      </c>
    </row>
    <row r="217" spans="1:24">
      <c r="A217" s="838" t="s">
        <v>2517</v>
      </c>
      <c r="B217" s="840" t="s">
        <v>2518</v>
      </c>
      <c r="C217" s="857">
        <v>42898.006999999998</v>
      </c>
      <c r="D217" s="857">
        <v>0</v>
      </c>
      <c r="E217" s="857">
        <v>0</v>
      </c>
      <c r="F217" s="857">
        <v>42898.006999999998</v>
      </c>
      <c r="G217" s="857">
        <v>42883.368000000002</v>
      </c>
      <c r="H217" s="857">
        <v>0</v>
      </c>
      <c r="I217" s="857">
        <v>0</v>
      </c>
      <c r="J217" s="857">
        <v>0</v>
      </c>
      <c r="K217" s="857">
        <v>0</v>
      </c>
      <c r="L217" s="857">
        <v>0</v>
      </c>
      <c r="M217" s="857">
        <v>0</v>
      </c>
      <c r="N217" s="857">
        <v>0</v>
      </c>
      <c r="O217" s="857">
        <v>0</v>
      </c>
      <c r="P217" s="857">
        <v>0</v>
      </c>
      <c r="Q217" s="857">
        <v>42883.368000000002</v>
      </c>
      <c r="R217" s="857">
        <v>0</v>
      </c>
      <c r="S217" s="857">
        <v>42883.368000000002</v>
      </c>
      <c r="T217" s="857">
        <v>0</v>
      </c>
      <c r="U217" s="857">
        <v>0</v>
      </c>
      <c r="V217" s="857">
        <v>0</v>
      </c>
      <c r="W217" s="857">
        <v>0</v>
      </c>
      <c r="X217" s="1010">
        <v>0.99965874871529592</v>
      </c>
    </row>
    <row r="218" spans="1:24" ht="47.25">
      <c r="A218" s="838" t="s">
        <v>2469</v>
      </c>
      <c r="B218" s="839" t="s">
        <v>2257</v>
      </c>
      <c r="C218" s="857">
        <v>42898.006999999998</v>
      </c>
      <c r="D218" s="857">
        <v>0</v>
      </c>
      <c r="E218" s="857">
        <v>0</v>
      </c>
      <c r="F218" s="857">
        <v>42898.006999999998</v>
      </c>
      <c r="G218" s="857">
        <v>42883.368000000002</v>
      </c>
      <c r="H218" s="857">
        <v>0</v>
      </c>
      <c r="I218" s="857">
        <v>0</v>
      </c>
      <c r="J218" s="857">
        <v>0</v>
      </c>
      <c r="K218" s="857">
        <v>0</v>
      </c>
      <c r="L218" s="857">
        <v>0</v>
      </c>
      <c r="M218" s="857">
        <v>0</v>
      </c>
      <c r="N218" s="857">
        <v>0</v>
      </c>
      <c r="O218" s="857">
        <v>0</v>
      </c>
      <c r="P218" s="857">
        <v>0</v>
      </c>
      <c r="Q218" s="857">
        <v>42883.368000000002</v>
      </c>
      <c r="R218" s="857">
        <v>0</v>
      </c>
      <c r="S218" s="857">
        <v>42883.368000000002</v>
      </c>
      <c r="T218" s="857">
        <v>0</v>
      </c>
      <c r="U218" s="857">
        <v>0</v>
      </c>
      <c r="V218" s="857">
        <v>0</v>
      </c>
      <c r="W218" s="857">
        <v>0</v>
      </c>
      <c r="X218" s="1010">
        <v>0.99965874871529592</v>
      </c>
    </row>
    <row r="219" spans="1:24">
      <c r="A219" s="838" t="s">
        <v>2519</v>
      </c>
      <c r="B219" s="840" t="s">
        <v>2520</v>
      </c>
      <c r="C219" s="857">
        <v>497754.86216700001</v>
      </c>
      <c r="D219" s="857">
        <v>23825.142555999999</v>
      </c>
      <c r="E219" s="857">
        <v>35746.129979999998</v>
      </c>
      <c r="F219" s="857">
        <v>438183.58963100001</v>
      </c>
      <c r="G219" s="857">
        <v>479797.526151</v>
      </c>
      <c r="H219" s="857">
        <v>57733.875684999999</v>
      </c>
      <c r="I219" s="857">
        <v>6602.4475000000002</v>
      </c>
      <c r="J219" s="857">
        <v>96685.727127000006</v>
      </c>
      <c r="K219" s="857">
        <v>18627.036800000002</v>
      </c>
      <c r="L219" s="857">
        <v>203147.72810499999</v>
      </c>
      <c r="M219" s="857">
        <v>904.7</v>
      </c>
      <c r="N219" s="857">
        <v>0</v>
      </c>
      <c r="O219" s="857">
        <v>0</v>
      </c>
      <c r="P219" s="857">
        <v>729</v>
      </c>
      <c r="Q219" s="857">
        <v>72976.213988000003</v>
      </c>
      <c r="R219" s="857">
        <v>491.15300000000002</v>
      </c>
      <c r="S219" s="857">
        <v>67776.323999999993</v>
      </c>
      <c r="T219" s="857">
        <v>4708.7369879999997</v>
      </c>
      <c r="U219" s="857">
        <v>11818.15026</v>
      </c>
      <c r="V219" s="857">
        <v>7274.0426859999998</v>
      </c>
      <c r="W219" s="857">
        <v>3298.6039999999998</v>
      </c>
      <c r="X219" s="1010">
        <v>0.9639233337916141</v>
      </c>
    </row>
    <row r="220" spans="1:24" ht="31.5">
      <c r="A220" s="838" t="s">
        <v>2469</v>
      </c>
      <c r="B220" s="839" t="s">
        <v>2146</v>
      </c>
      <c r="C220" s="857">
        <v>827.7</v>
      </c>
      <c r="D220" s="857">
        <v>172.7</v>
      </c>
      <c r="E220" s="857">
        <v>0</v>
      </c>
      <c r="F220" s="857">
        <v>655</v>
      </c>
      <c r="G220" s="857">
        <v>782</v>
      </c>
      <c r="H220" s="857">
        <v>0</v>
      </c>
      <c r="I220" s="857">
        <v>0</v>
      </c>
      <c r="J220" s="857">
        <v>0</v>
      </c>
      <c r="K220" s="857">
        <v>0</v>
      </c>
      <c r="L220" s="857">
        <v>0</v>
      </c>
      <c r="M220" s="857">
        <v>0</v>
      </c>
      <c r="N220" s="857">
        <v>0</v>
      </c>
      <c r="O220" s="857">
        <v>0</v>
      </c>
      <c r="P220" s="857">
        <v>0</v>
      </c>
      <c r="Q220" s="857">
        <v>0</v>
      </c>
      <c r="R220" s="857">
        <v>0</v>
      </c>
      <c r="S220" s="857">
        <v>0</v>
      </c>
      <c r="T220" s="857">
        <v>0</v>
      </c>
      <c r="U220" s="857">
        <v>0</v>
      </c>
      <c r="V220" s="857">
        <v>0</v>
      </c>
      <c r="W220" s="857">
        <v>782</v>
      </c>
      <c r="X220" s="1010">
        <v>0.94478675848737459</v>
      </c>
    </row>
    <row r="221" spans="1:24" ht="31.5">
      <c r="A221" s="838" t="s">
        <v>2469</v>
      </c>
      <c r="B221" s="840" t="s">
        <v>2521</v>
      </c>
      <c r="C221" s="857">
        <v>68546.323999999993</v>
      </c>
      <c r="D221" s="857">
        <v>0</v>
      </c>
      <c r="E221" s="857">
        <v>0</v>
      </c>
      <c r="F221" s="857">
        <v>68546.323999999993</v>
      </c>
      <c r="G221" s="857">
        <v>68546.323999999993</v>
      </c>
      <c r="H221" s="857">
        <v>0</v>
      </c>
      <c r="I221" s="857">
        <v>0</v>
      </c>
      <c r="J221" s="857">
        <v>200</v>
      </c>
      <c r="K221" s="857">
        <v>0</v>
      </c>
      <c r="L221" s="857">
        <v>0</v>
      </c>
      <c r="M221" s="857">
        <v>0</v>
      </c>
      <c r="N221" s="857">
        <v>0</v>
      </c>
      <c r="O221" s="857">
        <v>0</v>
      </c>
      <c r="P221" s="857">
        <v>0</v>
      </c>
      <c r="Q221" s="857">
        <v>67776.323999999993</v>
      </c>
      <c r="R221" s="857">
        <v>0</v>
      </c>
      <c r="S221" s="857">
        <v>67776.323999999993</v>
      </c>
      <c r="T221" s="857">
        <v>0</v>
      </c>
      <c r="U221" s="857">
        <v>120</v>
      </c>
      <c r="V221" s="857">
        <v>0</v>
      </c>
      <c r="W221" s="857">
        <v>450</v>
      </c>
      <c r="X221" s="1010">
        <v>1</v>
      </c>
    </row>
    <row r="222" spans="1:24">
      <c r="A222" s="838" t="s">
        <v>2469</v>
      </c>
      <c r="B222" s="840" t="s">
        <v>2147</v>
      </c>
      <c r="C222" s="857">
        <v>2574</v>
      </c>
      <c r="D222" s="857">
        <v>0</v>
      </c>
      <c r="E222" s="857">
        <v>2426</v>
      </c>
      <c r="F222" s="857">
        <v>148</v>
      </c>
      <c r="G222" s="857">
        <v>2574</v>
      </c>
      <c r="H222" s="857">
        <v>0</v>
      </c>
      <c r="I222" s="857">
        <v>0</v>
      </c>
      <c r="J222" s="857">
        <v>0</v>
      </c>
      <c r="K222" s="857">
        <v>0</v>
      </c>
      <c r="L222" s="857">
        <v>0</v>
      </c>
      <c r="M222" s="857">
        <v>0</v>
      </c>
      <c r="N222" s="857">
        <v>0</v>
      </c>
      <c r="O222" s="857">
        <v>0</v>
      </c>
      <c r="P222" s="857">
        <v>0</v>
      </c>
      <c r="Q222" s="857">
        <v>0</v>
      </c>
      <c r="R222" s="857">
        <v>0</v>
      </c>
      <c r="S222" s="857">
        <v>0</v>
      </c>
      <c r="T222" s="857">
        <v>0</v>
      </c>
      <c r="U222" s="857">
        <v>2574</v>
      </c>
      <c r="V222" s="857">
        <v>0</v>
      </c>
      <c r="W222" s="857">
        <v>0</v>
      </c>
      <c r="X222" s="1010">
        <v>1</v>
      </c>
    </row>
    <row r="223" spans="1:24">
      <c r="A223" s="838" t="s">
        <v>2469</v>
      </c>
      <c r="B223" s="840" t="s">
        <v>2148</v>
      </c>
      <c r="C223" s="857">
        <v>10678.6</v>
      </c>
      <c r="D223" s="857">
        <v>0</v>
      </c>
      <c r="E223" s="857">
        <v>2401</v>
      </c>
      <c r="F223" s="857">
        <v>8277.6</v>
      </c>
      <c r="G223" s="857">
        <v>10349.617797999999</v>
      </c>
      <c r="H223" s="857">
        <v>10318.217798</v>
      </c>
      <c r="I223" s="857">
        <v>0</v>
      </c>
      <c r="J223" s="857">
        <v>0</v>
      </c>
      <c r="K223" s="857">
        <v>0</v>
      </c>
      <c r="L223" s="857">
        <v>0</v>
      </c>
      <c r="M223" s="857">
        <v>0</v>
      </c>
      <c r="N223" s="857">
        <v>0</v>
      </c>
      <c r="O223" s="857">
        <v>0</v>
      </c>
      <c r="P223" s="857">
        <v>0</v>
      </c>
      <c r="Q223" s="857">
        <v>0</v>
      </c>
      <c r="R223" s="857">
        <v>0</v>
      </c>
      <c r="S223" s="857">
        <v>0</v>
      </c>
      <c r="T223" s="857">
        <v>0</v>
      </c>
      <c r="U223" s="857">
        <v>0</v>
      </c>
      <c r="V223" s="857">
        <v>0</v>
      </c>
      <c r="W223" s="857">
        <v>31.4</v>
      </c>
      <c r="X223" s="1010">
        <v>0.96919238458224855</v>
      </c>
    </row>
    <row r="224" spans="1:24" s="524" customFormat="1" ht="31.5">
      <c r="A224" s="759" t="s">
        <v>2469</v>
      </c>
      <c r="B224" s="512" t="s">
        <v>2522</v>
      </c>
      <c r="C224" s="877">
        <v>500</v>
      </c>
      <c r="D224" s="877">
        <v>0</v>
      </c>
      <c r="E224" s="877">
        <v>500</v>
      </c>
      <c r="F224" s="877">
        <v>0</v>
      </c>
      <c r="G224" s="877">
        <v>491.15300000000002</v>
      </c>
      <c r="H224" s="877">
        <v>0</v>
      </c>
      <c r="I224" s="877">
        <v>0</v>
      </c>
      <c r="J224" s="877">
        <v>0</v>
      </c>
      <c r="K224" s="877">
        <v>0</v>
      </c>
      <c r="L224" s="877">
        <v>0</v>
      </c>
      <c r="M224" s="877">
        <v>0</v>
      </c>
      <c r="N224" s="877">
        <v>0</v>
      </c>
      <c r="O224" s="877">
        <v>0</v>
      </c>
      <c r="P224" s="877">
        <v>0</v>
      </c>
      <c r="Q224" s="877">
        <v>491.15300000000002</v>
      </c>
      <c r="R224" s="877">
        <v>491.15300000000002</v>
      </c>
      <c r="S224" s="877">
        <v>0</v>
      </c>
      <c r="T224" s="877">
        <v>0</v>
      </c>
      <c r="U224" s="877">
        <v>0</v>
      </c>
      <c r="V224" s="877">
        <v>0</v>
      </c>
      <c r="W224" s="877">
        <v>0</v>
      </c>
      <c r="X224" s="1010">
        <v>0.98230600000000001</v>
      </c>
    </row>
    <row r="225" spans="1:24" s="524" customFormat="1" ht="31.5">
      <c r="A225" s="759" t="s">
        <v>2469</v>
      </c>
      <c r="B225" s="512" t="s">
        <v>2149</v>
      </c>
      <c r="C225" s="877">
        <v>6087.8239999999996</v>
      </c>
      <c r="D225" s="877">
        <v>400</v>
      </c>
      <c r="E225" s="877">
        <v>4352</v>
      </c>
      <c r="F225" s="877">
        <v>1335.8240000000001</v>
      </c>
      <c r="G225" s="877">
        <v>6032.7522840000001</v>
      </c>
      <c r="H225" s="877">
        <v>5632.7522840000001</v>
      </c>
      <c r="I225" s="877">
        <v>0</v>
      </c>
      <c r="J225" s="877">
        <v>0</v>
      </c>
      <c r="K225" s="877">
        <v>0</v>
      </c>
      <c r="L225" s="877">
        <v>0</v>
      </c>
      <c r="M225" s="877">
        <v>0</v>
      </c>
      <c r="N225" s="877">
        <v>0</v>
      </c>
      <c r="O225" s="877">
        <v>0</v>
      </c>
      <c r="P225" s="877">
        <v>0</v>
      </c>
      <c r="Q225" s="877">
        <v>0</v>
      </c>
      <c r="R225" s="877">
        <v>0</v>
      </c>
      <c r="S225" s="877">
        <v>0</v>
      </c>
      <c r="T225" s="877">
        <v>0</v>
      </c>
      <c r="U225" s="877">
        <v>0</v>
      </c>
      <c r="V225" s="877">
        <v>0</v>
      </c>
      <c r="W225" s="877">
        <v>400</v>
      </c>
      <c r="X225" s="1010">
        <v>0.99095379301372721</v>
      </c>
    </row>
    <row r="226" spans="1:24" s="524" customFormat="1" ht="31.5">
      <c r="A226" s="759" t="s">
        <v>2469</v>
      </c>
      <c r="B226" s="512" t="s">
        <v>2150</v>
      </c>
      <c r="C226" s="877">
        <v>2479.7159999999999</v>
      </c>
      <c r="D226" s="877">
        <v>301.2</v>
      </c>
      <c r="E226" s="877">
        <v>1380</v>
      </c>
      <c r="F226" s="877">
        <v>798.51599999999996</v>
      </c>
      <c r="G226" s="877">
        <v>2026.5878640000001</v>
      </c>
      <c r="H226" s="877">
        <v>0</v>
      </c>
      <c r="I226" s="877">
        <v>0</v>
      </c>
      <c r="J226" s="877">
        <v>0</v>
      </c>
      <c r="K226" s="877">
        <v>0</v>
      </c>
      <c r="L226" s="877">
        <v>0</v>
      </c>
      <c r="M226" s="877">
        <v>301.20000000000005</v>
      </c>
      <c r="N226" s="877">
        <v>0</v>
      </c>
      <c r="O226" s="877">
        <v>0</v>
      </c>
      <c r="P226" s="877">
        <v>0</v>
      </c>
      <c r="Q226" s="877">
        <v>0</v>
      </c>
      <c r="R226" s="877">
        <v>0</v>
      </c>
      <c r="S226" s="877">
        <v>0</v>
      </c>
      <c r="T226" s="877">
        <v>0</v>
      </c>
      <c r="U226" s="877">
        <v>1699.387864</v>
      </c>
      <c r="V226" s="877">
        <v>0</v>
      </c>
      <c r="W226" s="877">
        <v>26</v>
      </c>
      <c r="X226" s="1010">
        <v>0.81726611595844045</v>
      </c>
    </row>
    <row r="227" spans="1:24" s="524" customFormat="1">
      <c r="A227" s="759" t="s">
        <v>2469</v>
      </c>
      <c r="B227" s="512" t="s">
        <v>2151</v>
      </c>
      <c r="C227" s="877">
        <v>19400.036800000002</v>
      </c>
      <c r="D227" s="877">
        <v>1700</v>
      </c>
      <c r="E227" s="877">
        <v>5540</v>
      </c>
      <c r="F227" s="877">
        <v>12160.0368</v>
      </c>
      <c r="G227" s="877">
        <v>18627.036800000002</v>
      </c>
      <c r="H227" s="877">
        <v>0</v>
      </c>
      <c r="I227" s="877">
        <v>0</v>
      </c>
      <c r="J227" s="877">
        <v>0</v>
      </c>
      <c r="K227" s="877">
        <v>18627.036800000002</v>
      </c>
      <c r="L227" s="877">
        <v>0</v>
      </c>
      <c r="M227" s="877">
        <v>0</v>
      </c>
      <c r="N227" s="877">
        <v>0</v>
      </c>
      <c r="O227" s="877">
        <v>0</v>
      </c>
      <c r="P227" s="877">
        <v>0</v>
      </c>
      <c r="Q227" s="877">
        <v>0</v>
      </c>
      <c r="R227" s="877">
        <v>0</v>
      </c>
      <c r="S227" s="877">
        <v>0</v>
      </c>
      <c r="T227" s="877">
        <v>0</v>
      </c>
      <c r="U227" s="877">
        <v>0</v>
      </c>
      <c r="V227" s="877">
        <v>0</v>
      </c>
      <c r="W227" s="877">
        <v>0</v>
      </c>
      <c r="X227" s="1010">
        <v>0.96015471475806691</v>
      </c>
    </row>
    <row r="228" spans="1:24">
      <c r="A228" s="838" t="s">
        <v>2469</v>
      </c>
      <c r="B228" s="840" t="s">
        <v>2477</v>
      </c>
      <c r="C228" s="857">
        <v>101095.1366</v>
      </c>
      <c r="D228" s="857">
        <v>9204.5226000000002</v>
      </c>
      <c r="E228" s="857">
        <v>3400</v>
      </c>
      <c r="F228" s="857">
        <v>88490.614000000001</v>
      </c>
      <c r="G228" s="857">
        <v>96609.251126999996</v>
      </c>
      <c r="H228" s="857">
        <v>123.524</v>
      </c>
      <c r="I228" s="857">
        <v>0</v>
      </c>
      <c r="J228" s="857">
        <v>96485.727127000006</v>
      </c>
      <c r="K228" s="857">
        <v>0</v>
      </c>
      <c r="L228" s="857">
        <v>0</v>
      </c>
      <c r="M228" s="857">
        <v>0</v>
      </c>
      <c r="N228" s="857">
        <v>0</v>
      </c>
      <c r="O228" s="857">
        <v>0</v>
      </c>
      <c r="P228" s="857">
        <v>0</v>
      </c>
      <c r="Q228" s="857">
        <v>0</v>
      </c>
      <c r="R228" s="857">
        <v>0</v>
      </c>
      <c r="S228" s="857">
        <v>0</v>
      </c>
      <c r="T228" s="857">
        <v>0</v>
      </c>
      <c r="U228" s="857">
        <v>0</v>
      </c>
      <c r="V228" s="857">
        <v>0</v>
      </c>
      <c r="W228" s="857">
        <v>0</v>
      </c>
      <c r="X228" s="1010">
        <v>0.95562708925604234</v>
      </c>
    </row>
    <row r="229" spans="1:24" ht="31.5">
      <c r="A229" s="838" t="s">
        <v>2469</v>
      </c>
      <c r="B229" s="840" t="s">
        <v>2152</v>
      </c>
      <c r="C229" s="857">
        <v>930</v>
      </c>
      <c r="D229" s="857">
        <v>0</v>
      </c>
      <c r="E229" s="857">
        <v>0</v>
      </c>
      <c r="F229" s="857">
        <v>930</v>
      </c>
      <c r="G229" s="857">
        <v>929.26</v>
      </c>
      <c r="H229" s="857">
        <v>0</v>
      </c>
      <c r="I229" s="857">
        <v>0</v>
      </c>
      <c r="J229" s="857">
        <v>0</v>
      </c>
      <c r="K229" s="857">
        <v>0</v>
      </c>
      <c r="L229" s="857">
        <v>0</v>
      </c>
      <c r="M229" s="857">
        <v>0</v>
      </c>
      <c r="N229" s="857">
        <v>0</v>
      </c>
      <c r="O229" s="857">
        <v>0</v>
      </c>
      <c r="P229" s="857">
        <v>0</v>
      </c>
      <c r="Q229" s="857">
        <v>0</v>
      </c>
      <c r="R229" s="857">
        <v>0</v>
      </c>
      <c r="S229" s="857">
        <v>0</v>
      </c>
      <c r="T229" s="857">
        <v>0</v>
      </c>
      <c r="U229" s="857">
        <v>0</v>
      </c>
      <c r="V229" s="857">
        <v>0</v>
      </c>
      <c r="W229" s="857">
        <v>929.26</v>
      </c>
      <c r="X229" s="1010">
        <v>0.99920430107526881</v>
      </c>
    </row>
    <row r="230" spans="1:24" ht="31.5">
      <c r="A230" s="838" t="s">
        <v>2469</v>
      </c>
      <c r="B230" s="840" t="s">
        <v>2154</v>
      </c>
      <c r="C230" s="857">
        <v>209965.77079099999</v>
      </c>
      <c r="D230" s="857">
        <v>0</v>
      </c>
      <c r="E230" s="857">
        <v>0</v>
      </c>
      <c r="F230" s="857">
        <v>209965.77079099999</v>
      </c>
      <c r="G230" s="857">
        <v>209965.77079099999</v>
      </c>
      <c r="H230" s="857">
        <v>0</v>
      </c>
      <c r="I230" s="857">
        <v>0</v>
      </c>
      <c r="J230" s="857">
        <v>0</v>
      </c>
      <c r="K230" s="857">
        <v>0</v>
      </c>
      <c r="L230" s="857">
        <v>203147.72810499999</v>
      </c>
      <c r="M230" s="857">
        <v>0</v>
      </c>
      <c r="N230" s="857">
        <v>0</v>
      </c>
      <c r="O230" s="857">
        <v>0</v>
      </c>
      <c r="P230" s="857">
        <v>0</v>
      </c>
      <c r="Q230" s="857">
        <v>0</v>
      </c>
      <c r="R230" s="857">
        <v>0</v>
      </c>
      <c r="S230" s="857">
        <v>0</v>
      </c>
      <c r="T230" s="857">
        <v>0</v>
      </c>
      <c r="U230" s="857">
        <v>0</v>
      </c>
      <c r="V230" s="857">
        <v>6818.0426859999998</v>
      </c>
      <c r="W230" s="857">
        <v>0</v>
      </c>
      <c r="X230" s="1010">
        <v>1</v>
      </c>
    </row>
    <row r="231" spans="1:24" ht="31.5">
      <c r="A231" s="838" t="s">
        <v>2469</v>
      </c>
      <c r="B231" s="840" t="s">
        <v>2155</v>
      </c>
      <c r="C231" s="857">
        <v>300</v>
      </c>
      <c r="D231" s="857">
        <v>0</v>
      </c>
      <c r="E231" s="857">
        <v>300</v>
      </c>
      <c r="F231" s="857">
        <v>0</v>
      </c>
      <c r="G231" s="857">
        <v>300</v>
      </c>
      <c r="H231" s="857">
        <v>0</v>
      </c>
      <c r="I231" s="857">
        <v>0</v>
      </c>
      <c r="J231" s="857">
        <v>0</v>
      </c>
      <c r="K231" s="857">
        <v>0</v>
      </c>
      <c r="L231" s="857">
        <v>0</v>
      </c>
      <c r="M231" s="857">
        <v>0</v>
      </c>
      <c r="N231" s="857">
        <v>0</v>
      </c>
      <c r="O231" s="857">
        <v>0</v>
      </c>
      <c r="P231" s="857">
        <v>0</v>
      </c>
      <c r="Q231" s="857">
        <v>0</v>
      </c>
      <c r="R231" s="857">
        <v>0</v>
      </c>
      <c r="S231" s="857">
        <v>0</v>
      </c>
      <c r="T231" s="857">
        <v>0</v>
      </c>
      <c r="U231" s="857">
        <v>0</v>
      </c>
      <c r="V231" s="857">
        <v>0</v>
      </c>
      <c r="W231" s="857">
        <v>300</v>
      </c>
      <c r="X231" s="1010">
        <v>1</v>
      </c>
    </row>
    <row r="232" spans="1:24" ht="31.5">
      <c r="A232" s="838" t="s">
        <v>2469</v>
      </c>
      <c r="B232" s="840" t="s">
        <v>2258</v>
      </c>
      <c r="C232" s="857">
        <v>166.5</v>
      </c>
      <c r="D232" s="857">
        <v>0</v>
      </c>
      <c r="E232" s="857">
        <v>0</v>
      </c>
      <c r="F232" s="857">
        <v>166.5</v>
      </c>
      <c r="G232" s="857">
        <v>166.5</v>
      </c>
      <c r="H232" s="857">
        <v>0</v>
      </c>
      <c r="I232" s="857">
        <v>0</v>
      </c>
      <c r="J232" s="857">
        <v>0</v>
      </c>
      <c r="K232" s="857">
        <v>0</v>
      </c>
      <c r="L232" s="857">
        <v>0</v>
      </c>
      <c r="M232" s="857">
        <v>166.5</v>
      </c>
      <c r="N232" s="857">
        <v>0</v>
      </c>
      <c r="O232" s="857">
        <v>0</v>
      </c>
      <c r="P232" s="857">
        <v>0</v>
      </c>
      <c r="Q232" s="857">
        <v>0</v>
      </c>
      <c r="R232" s="857">
        <v>0</v>
      </c>
      <c r="S232" s="857">
        <v>0</v>
      </c>
      <c r="T232" s="857">
        <v>0</v>
      </c>
      <c r="U232" s="857">
        <v>0</v>
      </c>
      <c r="V232" s="857">
        <v>0</v>
      </c>
      <c r="W232" s="857">
        <v>0</v>
      </c>
      <c r="X232" s="1010">
        <v>1</v>
      </c>
    </row>
    <row r="233" spans="1:24" ht="31.5">
      <c r="A233" s="838" t="s">
        <v>2469</v>
      </c>
      <c r="B233" s="840" t="s">
        <v>2156</v>
      </c>
      <c r="C233" s="857">
        <v>17335.205819999999</v>
      </c>
      <c r="D233" s="857">
        <v>29.268000000000001</v>
      </c>
      <c r="E233" s="857">
        <v>1083.1299799999999</v>
      </c>
      <c r="F233" s="857">
        <v>16222.807839999999</v>
      </c>
      <c r="G233" s="857">
        <v>17317.56582</v>
      </c>
      <c r="H233" s="857">
        <v>17317.56582</v>
      </c>
      <c r="I233" s="857">
        <v>0</v>
      </c>
      <c r="J233" s="857">
        <v>0</v>
      </c>
      <c r="K233" s="857">
        <v>0</v>
      </c>
      <c r="L233" s="857">
        <v>0</v>
      </c>
      <c r="M233" s="857">
        <v>0</v>
      </c>
      <c r="N233" s="857">
        <v>0</v>
      </c>
      <c r="O233" s="857">
        <v>0</v>
      </c>
      <c r="P233" s="857">
        <v>0</v>
      </c>
      <c r="Q233" s="857">
        <v>0</v>
      </c>
      <c r="R233" s="857">
        <v>0</v>
      </c>
      <c r="S233" s="857">
        <v>0</v>
      </c>
      <c r="T233" s="857">
        <v>0</v>
      </c>
      <c r="U233" s="857">
        <v>0</v>
      </c>
      <c r="V233" s="857">
        <v>0</v>
      </c>
      <c r="W233" s="857">
        <v>0</v>
      </c>
      <c r="X233" s="1010">
        <v>0.99898241761977535</v>
      </c>
    </row>
    <row r="234" spans="1:24" ht="31.5">
      <c r="A234" s="838" t="s">
        <v>2469</v>
      </c>
      <c r="B234" s="840" t="s">
        <v>2165</v>
      </c>
      <c r="C234" s="857">
        <v>7159.1260000000002</v>
      </c>
      <c r="D234" s="857">
        <v>0</v>
      </c>
      <c r="E234" s="857">
        <v>6305</v>
      </c>
      <c r="F234" s="857">
        <v>854.12599999999998</v>
      </c>
      <c r="G234" s="857">
        <v>7039.57</v>
      </c>
      <c r="H234" s="857">
        <v>0</v>
      </c>
      <c r="I234" s="857">
        <v>0</v>
      </c>
      <c r="J234" s="857">
        <v>0</v>
      </c>
      <c r="K234" s="857">
        <v>0</v>
      </c>
      <c r="L234" s="857">
        <v>0</v>
      </c>
      <c r="M234" s="857">
        <v>0</v>
      </c>
      <c r="N234" s="857">
        <v>0</v>
      </c>
      <c r="O234" s="857">
        <v>0</v>
      </c>
      <c r="P234" s="857">
        <v>729</v>
      </c>
      <c r="Q234" s="857">
        <v>0</v>
      </c>
      <c r="R234" s="857">
        <v>0</v>
      </c>
      <c r="S234" s="857">
        <v>0</v>
      </c>
      <c r="T234" s="857">
        <v>0</v>
      </c>
      <c r="U234" s="857">
        <v>5930.6260000000002</v>
      </c>
      <c r="V234" s="857">
        <v>0</v>
      </c>
      <c r="W234" s="857">
        <v>379.94400000000002</v>
      </c>
      <c r="X234" s="1010">
        <v>0.98330019614126074</v>
      </c>
    </row>
    <row r="235" spans="1:24" ht="47.25">
      <c r="A235" s="838" t="s">
        <v>2469</v>
      </c>
      <c r="B235" s="840" t="s">
        <v>2168</v>
      </c>
      <c r="C235" s="857">
        <v>429.92599999999999</v>
      </c>
      <c r="D235" s="857">
        <v>0</v>
      </c>
      <c r="E235" s="857">
        <v>378</v>
      </c>
      <c r="F235" s="857">
        <v>51.926000000000002</v>
      </c>
      <c r="G235" s="857">
        <v>429.61076000000003</v>
      </c>
      <c r="H235" s="857">
        <v>0</v>
      </c>
      <c r="I235" s="857">
        <v>0</v>
      </c>
      <c r="J235" s="857">
        <v>0</v>
      </c>
      <c r="K235" s="857">
        <v>0</v>
      </c>
      <c r="L235" s="857">
        <v>0</v>
      </c>
      <c r="M235" s="857">
        <v>0</v>
      </c>
      <c r="N235" s="857">
        <v>0</v>
      </c>
      <c r="O235" s="857">
        <v>0</v>
      </c>
      <c r="P235" s="857">
        <v>0</v>
      </c>
      <c r="Q235" s="857">
        <v>0</v>
      </c>
      <c r="R235" s="857">
        <v>0</v>
      </c>
      <c r="S235" s="857">
        <v>0</v>
      </c>
      <c r="T235" s="857">
        <v>0</v>
      </c>
      <c r="U235" s="857">
        <v>429.61076000000003</v>
      </c>
      <c r="V235" s="857">
        <v>0</v>
      </c>
      <c r="W235" s="857">
        <v>0</v>
      </c>
      <c r="X235" s="1010">
        <v>0.9992667575350177</v>
      </c>
    </row>
    <row r="236" spans="1:24" ht="47.25">
      <c r="A236" s="838" t="s">
        <v>2469</v>
      </c>
      <c r="B236" s="840" t="s">
        <v>2169</v>
      </c>
      <c r="C236" s="857">
        <v>5000</v>
      </c>
      <c r="D236" s="857">
        <v>0</v>
      </c>
      <c r="E236" s="857">
        <v>5000</v>
      </c>
      <c r="F236" s="857">
        <v>0</v>
      </c>
      <c r="G236" s="857">
        <v>4708.7369879999997</v>
      </c>
      <c r="H236" s="857">
        <v>0</v>
      </c>
      <c r="I236" s="857">
        <v>0</v>
      </c>
      <c r="J236" s="857">
        <v>0</v>
      </c>
      <c r="K236" s="857">
        <v>0</v>
      </c>
      <c r="L236" s="857">
        <v>0</v>
      </c>
      <c r="M236" s="857">
        <v>0</v>
      </c>
      <c r="N236" s="857">
        <v>0</v>
      </c>
      <c r="O236" s="857">
        <v>0</v>
      </c>
      <c r="P236" s="857">
        <v>0</v>
      </c>
      <c r="Q236" s="857">
        <v>4708.7369879999997</v>
      </c>
      <c r="R236" s="857">
        <v>0</v>
      </c>
      <c r="S236" s="857">
        <v>0</v>
      </c>
      <c r="T236" s="857">
        <v>4708.7369879999997</v>
      </c>
      <c r="U236" s="857">
        <v>0</v>
      </c>
      <c r="V236" s="857">
        <v>0</v>
      </c>
      <c r="W236" s="857">
        <v>0</v>
      </c>
      <c r="X236" s="1010">
        <v>0.94174739759999992</v>
      </c>
    </row>
    <row r="237" spans="1:24" ht="31.5">
      <c r="A237" s="838" t="s">
        <v>2469</v>
      </c>
      <c r="B237" s="840" t="s">
        <v>2170</v>
      </c>
      <c r="C237" s="857">
        <v>456</v>
      </c>
      <c r="D237" s="857">
        <v>0</v>
      </c>
      <c r="E237" s="857">
        <v>445</v>
      </c>
      <c r="F237" s="857">
        <v>11</v>
      </c>
      <c r="G237" s="857">
        <v>456</v>
      </c>
      <c r="H237" s="857">
        <v>0</v>
      </c>
      <c r="I237" s="857">
        <v>0</v>
      </c>
      <c r="J237" s="857">
        <v>0</v>
      </c>
      <c r="K237" s="857">
        <v>0</v>
      </c>
      <c r="L237" s="857">
        <v>0</v>
      </c>
      <c r="M237" s="857">
        <v>0</v>
      </c>
      <c r="N237" s="857">
        <v>0</v>
      </c>
      <c r="O237" s="857">
        <v>0</v>
      </c>
      <c r="P237" s="857">
        <v>0</v>
      </c>
      <c r="Q237" s="857">
        <v>0</v>
      </c>
      <c r="R237" s="857">
        <v>0</v>
      </c>
      <c r="S237" s="857">
        <v>0</v>
      </c>
      <c r="T237" s="857">
        <v>0</v>
      </c>
      <c r="U237" s="857">
        <v>0</v>
      </c>
      <c r="V237" s="857">
        <v>456</v>
      </c>
      <c r="W237" s="857">
        <v>0</v>
      </c>
      <c r="X237" s="1010">
        <v>1</v>
      </c>
    </row>
    <row r="238" spans="1:24" ht="31.5">
      <c r="A238" s="838" t="s">
        <v>2469</v>
      </c>
      <c r="B238" s="840" t="s">
        <v>2171</v>
      </c>
      <c r="C238" s="857">
        <v>18089.71515</v>
      </c>
      <c r="D238" s="857">
        <v>11789.71515</v>
      </c>
      <c r="E238" s="857">
        <v>0</v>
      </c>
      <c r="F238" s="857">
        <v>6300</v>
      </c>
      <c r="G238" s="857">
        <v>6602.4475000000002</v>
      </c>
      <c r="H238" s="857">
        <v>0</v>
      </c>
      <c r="I238" s="857">
        <v>6602.4475000000002</v>
      </c>
      <c r="J238" s="857">
        <v>0</v>
      </c>
      <c r="K238" s="857">
        <v>0</v>
      </c>
      <c r="L238" s="857">
        <v>0</v>
      </c>
      <c r="M238" s="857">
        <v>0</v>
      </c>
      <c r="N238" s="857">
        <v>0</v>
      </c>
      <c r="O238" s="857">
        <v>0</v>
      </c>
      <c r="P238" s="857">
        <v>0</v>
      </c>
      <c r="Q238" s="857">
        <v>0</v>
      </c>
      <c r="R238" s="857">
        <v>0</v>
      </c>
      <c r="S238" s="857">
        <v>0</v>
      </c>
      <c r="T238" s="857">
        <v>0</v>
      </c>
      <c r="U238" s="857">
        <v>0</v>
      </c>
      <c r="V238" s="857">
        <v>0</v>
      </c>
      <c r="W238" s="857">
        <v>0</v>
      </c>
      <c r="X238" s="1010">
        <v>0.36498349726640111</v>
      </c>
    </row>
    <row r="239" spans="1:24" ht="31.5">
      <c r="A239" s="838" t="s">
        <v>2469</v>
      </c>
      <c r="B239" s="840" t="s">
        <v>2172</v>
      </c>
      <c r="C239" s="857">
        <v>230.2</v>
      </c>
      <c r="D239" s="857">
        <v>0</v>
      </c>
      <c r="E239" s="857">
        <v>153</v>
      </c>
      <c r="F239" s="857">
        <v>77.2</v>
      </c>
      <c r="G239" s="857">
        <v>230.2</v>
      </c>
      <c r="H239" s="857">
        <v>0</v>
      </c>
      <c r="I239" s="857">
        <v>0</v>
      </c>
      <c r="J239" s="857">
        <v>0</v>
      </c>
      <c r="K239" s="857">
        <v>0</v>
      </c>
      <c r="L239" s="857">
        <v>0</v>
      </c>
      <c r="M239" s="857">
        <v>0</v>
      </c>
      <c r="N239" s="857">
        <v>0</v>
      </c>
      <c r="O239" s="857">
        <v>0</v>
      </c>
      <c r="P239" s="857">
        <v>0</v>
      </c>
      <c r="Q239" s="857">
        <v>0</v>
      </c>
      <c r="R239" s="857">
        <v>0</v>
      </c>
      <c r="S239" s="857">
        <v>0</v>
      </c>
      <c r="T239" s="857">
        <v>0</v>
      </c>
      <c r="U239" s="857">
        <v>230.2</v>
      </c>
      <c r="V239" s="857">
        <v>0</v>
      </c>
      <c r="W239" s="857">
        <v>0</v>
      </c>
      <c r="X239" s="1010">
        <v>1</v>
      </c>
    </row>
    <row r="240" spans="1:24" ht="31.5">
      <c r="A240" s="838" t="s">
        <v>2469</v>
      </c>
      <c r="B240" s="840" t="s">
        <v>2173</v>
      </c>
      <c r="C240" s="857">
        <v>19221.104805999999</v>
      </c>
      <c r="D240" s="857">
        <v>227.736806</v>
      </c>
      <c r="E240" s="857">
        <v>1500</v>
      </c>
      <c r="F240" s="857">
        <v>17493.367999999999</v>
      </c>
      <c r="G240" s="857">
        <v>18894.175583</v>
      </c>
      <c r="H240" s="857">
        <v>18894.175583</v>
      </c>
      <c r="I240" s="857">
        <v>0</v>
      </c>
      <c r="J240" s="857">
        <v>0</v>
      </c>
      <c r="K240" s="857">
        <v>0</v>
      </c>
      <c r="L240" s="857">
        <v>0</v>
      </c>
      <c r="M240" s="857">
        <v>0</v>
      </c>
      <c r="N240" s="857">
        <v>0</v>
      </c>
      <c r="O240" s="857">
        <v>0</v>
      </c>
      <c r="P240" s="857">
        <v>0</v>
      </c>
      <c r="Q240" s="857">
        <v>0</v>
      </c>
      <c r="R240" s="857">
        <v>0</v>
      </c>
      <c r="S240" s="857">
        <v>0</v>
      </c>
      <c r="T240" s="857">
        <v>0</v>
      </c>
      <c r="U240" s="857">
        <v>0</v>
      </c>
      <c r="V240" s="857">
        <v>0</v>
      </c>
      <c r="W240" s="857">
        <v>0</v>
      </c>
      <c r="X240" s="1010">
        <v>0.98299113259618953</v>
      </c>
    </row>
    <row r="241" spans="1:24" ht="31.5">
      <c r="A241" s="838" t="s">
        <v>2469</v>
      </c>
      <c r="B241" s="840" t="s">
        <v>2259</v>
      </c>
      <c r="C241" s="857">
        <v>5447.6401999999998</v>
      </c>
      <c r="D241" s="857">
        <v>0</v>
      </c>
      <c r="E241" s="857">
        <v>0</v>
      </c>
      <c r="F241" s="857">
        <v>5447.6401999999998</v>
      </c>
      <c r="G241" s="857">
        <v>5447.6401999999998</v>
      </c>
      <c r="H241" s="857">
        <v>5447.6401999999998</v>
      </c>
      <c r="I241" s="857">
        <v>0</v>
      </c>
      <c r="J241" s="857">
        <v>0</v>
      </c>
      <c r="K241" s="857">
        <v>0</v>
      </c>
      <c r="L241" s="857">
        <v>0</v>
      </c>
      <c r="M241" s="857">
        <v>0</v>
      </c>
      <c r="N241" s="857">
        <v>0</v>
      </c>
      <c r="O241" s="857">
        <v>0</v>
      </c>
      <c r="P241" s="857">
        <v>0</v>
      </c>
      <c r="Q241" s="857">
        <v>0</v>
      </c>
      <c r="R241" s="857">
        <v>0</v>
      </c>
      <c r="S241" s="857">
        <v>0</v>
      </c>
      <c r="T241" s="857">
        <v>0</v>
      </c>
      <c r="U241" s="857">
        <v>0</v>
      </c>
      <c r="V241" s="857">
        <v>0</v>
      </c>
      <c r="W241" s="857">
        <v>0</v>
      </c>
      <c r="X241" s="1010">
        <v>1</v>
      </c>
    </row>
    <row r="242" spans="1:24" ht="31.5">
      <c r="A242" s="838" t="s">
        <v>2469</v>
      </c>
      <c r="B242" s="840" t="s">
        <v>2174</v>
      </c>
      <c r="C242" s="857">
        <v>442.61799999999999</v>
      </c>
      <c r="D242" s="857">
        <v>0</v>
      </c>
      <c r="E242" s="857">
        <v>203</v>
      </c>
      <c r="F242" s="857">
        <v>239.61799999999999</v>
      </c>
      <c r="G242" s="857">
        <v>442.61799999999999</v>
      </c>
      <c r="H242" s="857">
        <v>0</v>
      </c>
      <c r="I242" s="857">
        <v>0</v>
      </c>
      <c r="J242" s="857">
        <v>0</v>
      </c>
      <c r="K242" s="857">
        <v>0</v>
      </c>
      <c r="L242" s="857">
        <v>0</v>
      </c>
      <c r="M242" s="857">
        <v>0</v>
      </c>
      <c r="N242" s="857">
        <v>0</v>
      </c>
      <c r="O242" s="857">
        <v>0</v>
      </c>
      <c r="P242" s="857">
        <v>0</v>
      </c>
      <c r="Q242" s="857">
        <v>0</v>
      </c>
      <c r="R242" s="857">
        <v>0</v>
      </c>
      <c r="S242" s="857">
        <v>0</v>
      </c>
      <c r="T242" s="857">
        <v>0</v>
      </c>
      <c r="U242" s="857">
        <v>442.61799999999999</v>
      </c>
      <c r="V242" s="857">
        <v>0</v>
      </c>
      <c r="W242" s="857">
        <v>0</v>
      </c>
      <c r="X242" s="1010">
        <v>1</v>
      </c>
    </row>
    <row r="243" spans="1:24" ht="31.5">
      <c r="A243" s="838" t="s">
        <v>2469</v>
      </c>
      <c r="B243" s="840" t="s">
        <v>2175</v>
      </c>
      <c r="C243" s="857">
        <v>214.71799999999999</v>
      </c>
      <c r="D243" s="857">
        <v>0</v>
      </c>
      <c r="E243" s="857">
        <v>203</v>
      </c>
      <c r="F243" s="857">
        <v>11.718</v>
      </c>
      <c r="G243" s="857">
        <v>214.71799999999999</v>
      </c>
      <c r="H243" s="857">
        <v>0</v>
      </c>
      <c r="I243" s="857">
        <v>0</v>
      </c>
      <c r="J243" s="857">
        <v>0</v>
      </c>
      <c r="K243" s="857">
        <v>0</v>
      </c>
      <c r="L243" s="857">
        <v>0</v>
      </c>
      <c r="M243" s="857">
        <v>0</v>
      </c>
      <c r="N243" s="857">
        <v>0</v>
      </c>
      <c r="O243" s="857">
        <v>0</v>
      </c>
      <c r="P243" s="857">
        <v>0</v>
      </c>
      <c r="Q243" s="857">
        <v>0</v>
      </c>
      <c r="R243" s="857">
        <v>0</v>
      </c>
      <c r="S243" s="857">
        <v>0</v>
      </c>
      <c r="T243" s="857">
        <v>0</v>
      </c>
      <c r="U243" s="857">
        <v>214.71799999999999</v>
      </c>
      <c r="V243" s="857">
        <v>0</v>
      </c>
      <c r="W243" s="857">
        <v>0</v>
      </c>
      <c r="X243" s="1010">
        <v>1</v>
      </c>
    </row>
    <row r="244" spans="1:24">
      <c r="A244" s="838" t="s">
        <v>2469</v>
      </c>
      <c r="B244" s="840" t="s">
        <v>2176</v>
      </c>
      <c r="C244" s="857">
        <v>177</v>
      </c>
      <c r="D244" s="857">
        <v>0</v>
      </c>
      <c r="E244" s="857">
        <v>177</v>
      </c>
      <c r="F244" s="857">
        <v>0</v>
      </c>
      <c r="G244" s="857">
        <v>176.98963599999999</v>
      </c>
      <c r="H244" s="857">
        <v>0</v>
      </c>
      <c r="I244" s="857">
        <v>0</v>
      </c>
      <c r="J244" s="857">
        <v>0</v>
      </c>
      <c r="K244" s="857">
        <v>0</v>
      </c>
      <c r="L244" s="857">
        <v>0</v>
      </c>
      <c r="M244" s="857">
        <v>0</v>
      </c>
      <c r="N244" s="857">
        <v>0</v>
      </c>
      <c r="O244" s="857">
        <v>0</v>
      </c>
      <c r="P244" s="857">
        <v>0</v>
      </c>
      <c r="Q244" s="857">
        <v>0</v>
      </c>
      <c r="R244" s="857">
        <v>0</v>
      </c>
      <c r="S244" s="857">
        <v>0</v>
      </c>
      <c r="T244" s="857">
        <v>0</v>
      </c>
      <c r="U244" s="857">
        <v>176.98963599999999</v>
      </c>
      <c r="V244" s="857">
        <v>0</v>
      </c>
      <c r="W244" s="857">
        <v>0</v>
      </c>
      <c r="X244" s="1010">
        <v>0.99994144632768356</v>
      </c>
    </row>
    <row r="245" spans="1:24">
      <c r="A245" s="858"/>
      <c r="B245" s="859"/>
      <c r="C245" s="860"/>
      <c r="D245" s="860"/>
      <c r="E245" s="860"/>
      <c r="F245" s="860"/>
      <c r="G245" s="860"/>
      <c r="H245" s="860"/>
      <c r="I245" s="860"/>
      <c r="J245" s="860"/>
      <c r="K245" s="860"/>
      <c r="L245" s="860"/>
      <c r="M245" s="860"/>
      <c r="N245" s="860"/>
      <c r="O245" s="860"/>
      <c r="P245" s="860"/>
      <c r="Q245" s="860"/>
      <c r="R245" s="860"/>
      <c r="S245" s="860"/>
      <c r="T245" s="860"/>
      <c r="U245" s="860"/>
      <c r="V245" s="860"/>
      <c r="W245" s="860"/>
      <c r="X245" s="861"/>
    </row>
    <row r="246" spans="1:24">
      <c r="A246" s="858"/>
      <c r="B246" s="859"/>
      <c r="C246" s="860"/>
      <c r="D246" s="860"/>
      <c r="E246" s="860"/>
      <c r="F246" s="860"/>
      <c r="G246" s="860"/>
      <c r="H246" s="860"/>
      <c r="I246" s="860"/>
      <c r="J246" s="860"/>
      <c r="K246" s="860"/>
      <c r="L246" s="860"/>
      <c r="M246" s="860"/>
      <c r="N246" s="860"/>
      <c r="O246" s="860"/>
      <c r="P246" s="860"/>
      <c r="Q246" s="860"/>
      <c r="R246" s="860"/>
      <c r="S246" s="860"/>
      <c r="T246" s="860"/>
      <c r="U246" s="860"/>
      <c r="V246" s="860"/>
      <c r="W246" s="860"/>
      <c r="X246" s="861"/>
    </row>
    <row r="247" spans="1:24">
      <c r="A247" s="858"/>
      <c r="B247" s="859"/>
      <c r="C247" s="860"/>
      <c r="D247" s="860"/>
      <c r="E247" s="860"/>
      <c r="F247" s="860"/>
      <c r="G247" s="860"/>
      <c r="H247" s="860"/>
      <c r="I247" s="860"/>
      <c r="J247" s="860"/>
      <c r="K247" s="860"/>
      <c r="L247" s="860"/>
      <c r="M247" s="860"/>
      <c r="N247" s="860"/>
      <c r="O247" s="860"/>
      <c r="P247" s="860"/>
      <c r="Q247" s="860"/>
      <c r="R247" s="860"/>
      <c r="S247" s="860"/>
      <c r="T247" s="860"/>
      <c r="U247" s="860"/>
      <c r="V247" s="860"/>
      <c r="W247" s="860"/>
      <c r="X247" s="861"/>
    </row>
    <row r="248" spans="1:24">
      <c r="A248" s="858"/>
      <c r="B248" s="859"/>
      <c r="C248" s="860"/>
      <c r="D248" s="860"/>
      <c r="E248" s="860"/>
      <c r="F248" s="860"/>
      <c r="G248" s="860"/>
      <c r="H248" s="860"/>
      <c r="I248" s="860"/>
      <c r="J248" s="860"/>
      <c r="K248" s="860"/>
      <c r="L248" s="860"/>
      <c r="M248" s="860"/>
      <c r="N248" s="860"/>
      <c r="O248" s="860"/>
      <c r="P248" s="860"/>
      <c r="Q248" s="860"/>
      <c r="R248" s="860"/>
      <c r="S248" s="860"/>
      <c r="T248" s="860"/>
      <c r="U248" s="860"/>
      <c r="V248" s="860"/>
      <c r="W248" s="860"/>
      <c r="X248" s="861"/>
    </row>
    <row r="249" spans="1:24">
      <c r="A249" s="858"/>
      <c r="B249" s="859"/>
      <c r="C249" s="860"/>
      <c r="D249" s="860"/>
      <c r="E249" s="860"/>
      <c r="F249" s="860"/>
      <c r="G249" s="860"/>
      <c r="H249" s="860"/>
      <c r="I249" s="860"/>
      <c r="J249" s="860"/>
      <c r="K249" s="860"/>
      <c r="L249" s="860"/>
      <c r="M249" s="860"/>
      <c r="N249" s="860"/>
      <c r="O249" s="860"/>
      <c r="P249" s="860"/>
      <c r="Q249" s="860"/>
      <c r="R249" s="860"/>
      <c r="S249" s="860"/>
      <c r="T249" s="860"/>
      <c r="U249" s="860"/>
      <c r="V249" s="860"/>
      <c r="W249" s="860"/>
      <c r="X249" s="861"/>
    </row>
    <row r="250" spans="1:24">
      <c r="A250" s="858"/>
      <c r="B250" s="859"/>
      <c r="C250" s="860"/>
      <c r="D250" s="860"/>
      <c r="E250" s="860"/>
      <c r="F250" s="860"/>
      <c r="G250" s="860"/>
      <c r="H250" s="860"/>
      <c r="I250" s="860"/>
      <c r="J250" s="860"/>
      <c r="K250" s="860"/>
      <c r="L250" s="860"/>
      <c r="M250" s="860"/>
      <c r="N250" s="860"/>
      <c r="O250" s="860"/>
      <c r="P250" s="860"/>
      <c r="Q250" s="860"/>
      <c r="R250" s="860"/>
      <c r="S250" s="860"/>
      <c r="T250" s="860"/>
      <c r="U250" s="860"/>
      <c r="V250" s="860"/>
      <c r="W250" s="860"/>
      <c r="X250" s="861"/>
    </row>
    <row r="251" spans="1:24">
      <c r="A251" s="858"/>
      <c r="B251" s="859"/>
      <c r="C251" s="860"/>
      <c r="D251" s="860"/>
      <c r="E251" s="860"/>
      <c r="F251" s="860"/>
      <c r="G251" s="860"/>
      <c r="H251" s="860"/>
      <c r="I251" s="860"/>
      <c r="J251" s="860"/>
      <c r="K251" s="860"/>
      <c r="L251" s="860"/>
      <c r="M251" s="860"/>
      <c r="N251" s="860"/>
      <c r="O251" s="860"/>
      <c r="P251" s="860"/>
      <c r="Q251" s="860"/>
      <c r="R251" s="860"/>
      <c r="S251" s="860"/>
      <c r="T251" s="860"/>
      <c r="U251" s="860"/>
      <c r="V251" s="860"/>
      <c r="W251" s="860"/>
      <c r="X251" s="861"/>
    </row>
    <row r="252" spans="1:24">
      <c r="A252" s="858"/>
      <c r="B252" s="859"/>
      <c r="C252" s="860"/>
      <c r="D252" s="860"/>
      <c r="E252" s="860"/>
      <c r="F252" s="860"/>
      <c r="G252" s="860"/>
      <c r="H252" s="860"/>
      <c r="I252" s="860"/>
      <c r="J252" s="860"/>
      <c r="K252" s="860"/>
      <c r="L252" s="860"/>
      <c r="M252" s="860"/>
      <c r="N252" s="860"/>
      <c r="O252" s="860"/>
      <c r="P252" s="860"/>
      <c r="Q252" s="860"/>
      <c r="R252" s="860"/>
      <c r="S252" s="860"/>
      <c r="T252" s="860"/>
      <c r="U252" s="860"/>
      <c r="V252" s="860"/>
      <c r="W252" s="860"/>
      <c r="X252" s="861"/>
    </row>
    <row r="253" spans="1:24">
      <c r="A253" s="858"/>
      <c r="B253" s="859"/>
      <c r="C253" s="860"/>
      <c r="D253" s="860"/>
      <c r="E253" s="860"/>
      <c r="F253" s="860"/>
      <c r="G253" s="860"/>
      <c r="H253" s="860"/>
      <c r="I253" s="860"/>
      <c r="J253" s="860"/>
      <c r="K253" s="860"/>
      <c r="L253" s="860"/>
      <c r="M253" s="860"/>
      <c r="N253" s="860"/>
      <c r="O253" s="860"/>
      <c r="P253" s="860"/>
      <c r="Q253" s="860"/>
      <c r="R253" s="860"/>
      <c r="S253" s="860"/>
      <c r="T253" s="860"/>
      <c r="U253" s="860"/>
      <c r="V253" s="860"/>
      <c r="W253" s="860"/>
      <c r="X253" s="861"/>
    </row>
    <row r="254" spans="1:24">
      <c r="A254" s="858"/>
      <c r="B254" s="859"/>
      <c r="C254" s="860"/>
      <c r="D254" s="860"/>
      <c r="E254" s="860"/>
      <c r="F254" s="860"/>
      <c r="G254" s="860"/>
      <c r="H254" s="860"/>
      <c r="I254" s="860"/>
      <c r="J254" s="860"/>
      <c r="K254" s="860"/>
      <c r="L254" s="860"/>
      <c r="M254" s="860"/>
      <c r="N254" s="860"/>
      <c r="O254" s="860"/>
      <c r="P254" s="860"/>
      <c r="Q254" s="860"/>
      <c r="R254" s="860"/>
      <c r="S254" s="860"/>
      <c r="T254" s="860"/>
      <c r="U254" s="860"/>
      <c r="V254" s="860"/>
      <c r="W254" s="860"/>
      <c r="X254" s="861"/>
    </row>
    <row r="255" spans="1:24">
      <c r="A255" s="858"/>
      <c r="B255" s="859"/>
      <c r="C255" s="860"/>
      <c r="D255" s="860"/>
      <c r="E255" s="860"/>
      <c r="F255" s="860"/>
      <c r="G255" s="860"/>
      <c r="H255" s="860"/>
      <c r="I255" s="860"/>
      <c r="J255" s="860"/>
      <c r="K255" s="860"/>
      <c r="L255" s="860"/>
      <c r="M255" s="860"/>
      <c r="N255" s="860"/>
      <c r="O255" s="860"/>
      <c r="P255" s="860"/>
      <c r="Q255" s="860"/>
      <c r="R255" s="860"/>
      <c r="S255" s="860"/>
      <c r="T255" s="860"/>
      <c r="U255" s="860"/>
      <c r="V255" s="860"/>
      <c r="W255" s="860"/>
      <c r="X255" s="861"/>
    </row>
    <row r="256" spans="1:24">
      <c r="A256" s="858"/>
      <c r="B256" s="859"/>
      <c r="C256" s="860"/>
      <c r="D256" s="860"/>
      <c r="E256" s="860"/>
      <c r="F256" s="860"/>
      <c r="G256" s="860"/>
      <c r="H256" s="860"/>
      <c r="I256" s="860"/>
      <c r="J256" s="860"/>
      <c r="K256" s="860"/>
      <c r="L256" s="860"/>
      <c r="M256" s="860"/>
      <c r="N256" s="860"/>
      <c r="O256" s="860"/>
      <c r="P256" s="860"/>
      <c r="Q256" s="860"/>
      <c r="R256" s="860"/>
      <c r="S256" s="860"/>
      <c r="T256" s="860"/>
      <c r="U256" s="860"/>
      <c r="V256" s="860"/>
      <c r="W256" s="860"/>
      <c r="X256" s="861"/>
    </row>
    <row r="257" spans="1:24">
      <c r="A257" s="858"/>
      <c r="B257" s="859"/>
      <c r="C257" s="860"/>
      <c r="D257" s="860"/>
      <c r="E257" s="860"/>
      <c r="F257" s="860"/>
      <c r="G257" s="860"/>
      <c r="H257" s="860"/>
      <c r="I257" s="860"/>
      <c r="J257" s="860"/>
      <c r="K257" s="860"/>
      <c r="L257" s="860"/>
      <c r="M257" s="860"/>
      <c r="N257" s="860"/>
      <c r="O257" s="860"/>
      <c r="P257" s="860"/>
      <c r="Q257" s="860"/>
      <c r="R257" s="860"/>
      <c r="S257" s="860"/>
      <c r="T257" s="860"/>
      <c r="U257" s="860"/>
      <c r="V257" s="860"/>
      <c r="W257" s="860"/>
      <c r="X257" s="861"/>
    </row>
    <row r="258" spans="1:24">
      <c r="A258" s="858"/>
      <c r="B258" s="859"/>
      <c r="C258" s="860"/>
      <c r="D258" s="860"/>
      <c r="E258" s="860"/>
      <c r="F258" s="860"/>
      <c r="G258" s="860"/>
      <c r="H258" s="860"/>
      <c r="I258" s="860"/>
      <c r="J258" s="860"/>
      <c r="K258" s="860"/>
      <c r="L258" s="860"/>
      <c r="M258" s="860"/>
      <c r="N258" s="860"/>
      <c r="O258" s="860"/>
      <c r="P258" s="860"/>
      <c r="Q258" s="860"/>
      <c r="R258" s="860"/>
      <c r="S258" s="860"/>
      <c r="T258" s="860"/>
      <c r="U258" s="860"/>
      <c r="V258" s="860"/>
      <c r="W258" s="860"/>
      <c r="X258" s="861"/>
    </row>
    <row r="259" spans="1:24">
      <c r="A259" s="858"/>
      <c r="B259" s="859"/>
      <c r="C259" s="860"/>
      <c r="D259" s="860"/>
      <c r="E259" s="860"/>
      <c r="F259" s="860"/>
      <c r="G259" s="860"/>
      <c r="H259" s="860"/>
      <c r="I259" s="860"/>
      <c r="J259" s="860"/>
      <c r="K259" s="860"/>
      <c r="L259" s="860"/>
      <c r="M259" s="860"/>
      <c r="N259" s="860"/>
      <c r="O259" s="860"/>
      <c r="P259" s="860"/>
      <c r="Q259" s="860"/>
      <c r="R259" s="860"/>
      <c r="S259" s="860"/>
      <c r="T259" s="860"/>
      <c r="U259" s="860"/>
      <c r="V259" s="860"/>
      <c r="W259" s="860"/>
      <c r="X259" s="861"/>
    </row>
    <row r="260" spans="1:24" ht="21" customHeight="1">
      <c r="A260" s="858"/>
      <c r="B260" s="859"/>
      <c r="C260" s="860"/>
      <c r="D260" s="860"/>
      <c r="E260" s="860"/>
      <c r="F260" s="860"/>
      <c r="G260" s="860"/>
      <c r="H260" s="860"/>
      <c r="I260" s="860"/>
      <c r="J260" s="860"/>
      <c r="K260" s="860"/>
      <c r="L260" s="860"/>
      <c r="M260" s="860"/>
      <c r="N260" s="860"/>
      <c r="O260" s="860"/>
      <c r="P260" s="860"/>
      <c r="Q260" s="860"/>
      <c r="R260" s="860"/>
      <c r="S260" s="860"/>
      <c r="T260" s="860"/>
      <c r="U260" s="860"/>
      <c r="V260" s="860"/>
      <c r="W260" s="860"/>
      <c r="X260" s="861"/>
    </row>
    <row r="261" spans="1:24">
      <c r="A261" s="858"/>
      <c r="B261" s="859"/>
      <c r="C261" s="860"/>
      <c r="D261" s="860"/>
      <c r="E261" s="860"/>
      <c r="F261" s="860"/>
      <c r="G261" s="860"/>
      <c r="H261" s="860"/>
      <c r="I261" s="860"/>
      <c r="J261" s="860"/>
      <c r="K261" s="860"/>
      <c r="L261" s="860"/>
      <c r="M261" s="860"/>
      <c r="N261" s="860"/>
      <c r="O261" s="860"/>
      <c r="P261" s="860"/>
      <c r="Q261" s="860"/>
      <c r="R261" s="860"/>
      <c r="S261" s="860"/>
      <c r="T261" s="860"/>
      <c r="U261" s="860"/>
      <c r="V261" s="860"/>
      <c r="W261" s="860"/>
      <c r="X261" s="861"/>
    </row>
    <row r="262" spans="1:24">
      <c r="A262" s="858"/>
      <c r="B262" s="859"/>
      <c r="C262" s="860"/>
      <c r="D262" s="860"/>
      <c r="E262" s="860"/>
      <c r="F262" s="860"/>
      <c r="G262" s="860"/>
      <c r="H262" s="860"/>
      <c r="I262" s="860"/>
      <c r="J262" s="860"/>
      <c r="K262" s="860"/>
      <c r="L262" s="860"/>
      <c r="M262" s="860"/>
      <c r="N262" s="860"/>
      <c r="O262" s="860"/>
      <c r="P262" s="860"/>
      <c r="Q262" s="860"/>
      <c r="R262" s="860"/>
      <c r="S262" s="860"/>
      <c r="T262" s="860"/>
      <c r="U262" s="860"/>
      <c r="V262" s="860"/>
      <c r="W262" s="860"/>
      <c r="X262" s="861"/>
    </row>
    <row r="263" spans="1:24">
      <c r="A263" s="858"/>
      <c r="B263" s="859"/>
      <c r="C263" s="860"/>
      <c r="D263" s="860"/>
      <c r="E263" s="860"/>
      <c r="F263" s="860"/>
      <c r="G263" s="860"/>
      <c r="H263" s="860"/>
      <c r="I263" s="860"/>
      <c r="J263" s="860"/>
      <c r="K263" s="860"/>
      <c r="L263" s="860"/>
      <c r="M263" s="860"/>
      <c r="N263" s="860"/>
      <c r="O263" s="860"/>
      <c r="P263" s="860"/>
      <c r="Q263" s="860"/>
      <c r="R263" s="860"/>
      <c r="S263" s="860"/>
      <c r="T263" s="860"/>
      <c r="U263" s="860"/>
      <c r="V263" s="860"/>
      <c r="W263" s="860"/>
      <c r="X263" s="861"/>
    </row>
    <row r="264" spans="1:24">
      <c r="C264" s="862"/>
      <c r="D264" s="862"/>
      <c r="E264" s="862"/>
      <c r="F264" s="862"/>
      <c r="G264" s="860"/>
      <c r="H264" s="862"/>
    </row>
    <row r="265" spans="1:24">
      <c r="A265" s="878"/>
      <c r="B265" s="903" t="s">
        <v>2391</v>
      </c>
      <c r="C265" s="878"/>
      <c r="D265" s="878"/>
      <c r="E265" s="878"/>
      <c r="F265" s="878"/>
      <c r="G265" s="879"/>
      <c r="H265" s="878"/>
      <c r="I265" s="878"/>
      <c r="J265" s="878"/>
      <c r="K265" s="878"/>
      <c r="L265" s="878"/>
      <c r="M265" s="878"/>
      <c r="N265" s="878"/>
      <c r="O265" s="878"/>
      <c r="P265" s="878"/>
      <c r="Q265" s="878"/>
      <c r="R265" s="878"/>
      <c r="S265" s="878"/>
      <c r="T265" s="878"/>
      <c r="U265" s="878"/>
      <c r="V265" s="878"/>
      <c r="W265" s="878"/>
      <c r="X265" s="878"/>
    </row>
    <row r="266" spans="1:24" s="853" customFormat="1" ht="52.5" customHeight="1">
      <c r="A266" s="880"/>
      <c r="B266" s="881" t="s">
        <v>1948</v>
      </c>
      <c r="C266" s="880"/>
      <c r="D266" s="880"/>
      <c r="E266" s="880"/>
      <c r="F266" s="880"/>
      <c r="G266" s="866">
        <v>150003.26063500001</v>
      </c>
      <c r="H266" s="866">
        <v>10910.883255000001</v>
      </c>
      <c r="I266" s="866">
        <v>0</v>
      </c>
      <c r="J266" s="866">
        <v>0</v>
      </c>
      <c r="K266" s="866">
        <v>630</v>
      </c>
      <c r="L266" s="866">
        <v>3068.531336</v>
      </c>
      <c r="M266" s="866">
        <v>16222.9395</v>
      </c>
      <c r="N266" s="866">
        <v>2633.6678400000001</v>
      </c>
      <c r="O266" s="866">
        <v>0</v>
      </c>
      <c r="P266" s="866">
        <v>749.19844699999999</v>
      </c>
      <c r="Q266" s="866">
        <v>96448.586894999986</v>
      </c>
      <c r="R266" s="866">
        <v>56355</v>
      </c>
      <c r="S266" s="866">
        <v>33556.136147999998</v>
      </c>
      <c r="T266" s="866">
        <v>6537.4507469999999</v>
      </c>
      <c r="U266" s="866">
        <v>2594.3679299999999</v>
      </c>
      <c r="V266" s="866">
        <v>16745.085432</v>
      </c>
      <c r="W266" s="866">
        <v>0</v>
      </c>
      <c r="X266" s="882">
        <v>0</v>
      </c>
    </row>
    <row r="267" spans="1:24" s="853" customFormat="1" ht="31.5">
      <c r="A267" s="880"/>
      <c r="B267" s="881" t="s">
        <v>2463</v>
      </c>
      <c r="C267" s="880"/>
      <c r="D267" s="880"/>
      <c r="E267" s="880"/>
      <c r="F267" s="880"/>
      <c r="G267" s="883"/>
      <c r="H267" s="882"/>
      <c r="I267" s="882"/>
      <c r="J267" s="882"/>
      <c r="K267" s="882"/>
      <c r="L267" s="882"/>
      <c r="M267" s="882"/>
      <c r="N267" s="882"/>
      <c r="O267" s="882"/>
      <c r="P267" s="882"/>
      <c r="Q267" s="882"/>
      <c r="R267" s="882"/>
      <c r="S267" s="882"/>
      <c r="T267" s="882"/>
      <c r="U267" s="882"/>
      <c r="V267" s="882"/>
      <c r="W267" s="882"/>
      <c r="X267" s="882"/>
    </row>
    <row r="268" spans="1:24" s="853" customFormat="1">
      <c r="A268" s="880"/>
      <c r="B268" s="881"/>
      <c r="C268" s="880"/>
      <c r="D268" s="880"/>
      <c r="E268" s="880"/>
      <c r="F268" s="880"/>
      <c r="G268" s="866">
        <v>437</v>
      </c>
      <c r="H268" s="882"/>
      <c r="I268" s="882"/>
      <c r="J268" s="882"/>
      <c r="K268" s="882"/>
      <c r="L268" s="882"/>
      <c r="M268" s="882">
        <v>437</v>
      </c>
      <c r="N268" s="882"/>
      <c r="O268" s="882"/>
      <c r="P268" s="882"/>
      <c r="Q268" s="882"/>
      <c r="R268" s="882"/>
      <c r="S268" s="882"/>
      <c r="T268" s="882"/>
      <c r="U268" s="882"/>
      <c r="V268" s="882"/>
      <c r="W268" s="882"/>
      <c r="X268" s="882"/>
    </row>
    <row r="269" spans="1:24" s="853" customFormat="1">
      <c r="A269" s="880"/>
      <c r="B269" s="881" t="s">
        <v>2464</v>
      </c>
      <c r="C269" s="880"/>
      <c r="D269" s="880"/>
      <c r="E269" s="880"/>
      <c r="F269" s="880"/>
      <c r="G269" s="866"/>
      <c r="H269" s="882"/>
      <c r="I269" s="882"/>
      <c r="J269" s="882"/>
      <c r="K269" s="882"/>
      <c r="L269" s="882"/>
      <c r="M269" s="882"/>
      <c r="N269" s="882"/>
      <c r="O269" s="882"/>
      <c r="P269" s="882"/>
      <c r="Q269" s="882"/>
      <c r="R269" s="882"/>
      <c r="S269" s="882"/>
      <c r="T269" s="882"/>
      <c r="U269" s="882"/>
      <c r="V269" s="882"/>
      <c r="W269" s="882"/>
      <c r="X269" s="882"/>
    </row>
    <row r="270" spans="1:24" s="853" customFormat="1">
      <c r="A270" s="880"/>
      <c r="B270" s="881"/>
      <c r="C270" s="880"/>
      <c r="D270" s="880"/>
      <c r="E270" s="880"/>
      <c r="F270" s="880"/>
      <c r="G270" s="866">
        <v>160</v>
      </c>
      <c r="H270" s="882"/>
      <c r="I270" s="882"/>
      <c r="J270" s="882"/>
      <c r="K270" s="882"/>
      <c r="L270" s="882"/>
      <c r="M270" s="882">
        <v>160</v>
      </c>
      <c r="N270" s="882"/>
      <c r="O270" s="882"/>
      <c r="P270" s="882"/>
      <c r="Q270" s="882"/>
      <c r="R270" s="882"/>
      <c r="S270" s="882"/>
      <c r="T270" s="882"/>
      <c r="U270" s="882"/>
      <c r="V270" s="882"/>
      <c r="W270" s="882"/>
      <c r="X270" s="882"/>
    </row>
    <row r="271" spans="1:24" s="354" customFormat="1">
      <c r="A271" s="882"/>
      <c r="B271" s="884" t="s">
        <v>2188</v>
      </c>
      <c r="C271" s="882"/>
      <c r="D271" s="882"/>
      <c r="E271" s="882"/>
      <c r="F271" s="882"/>
      <c r="G271" s="883"/>
      <c r="H271" s="882"/>
      <c r="I271" s="882"/>
      <c r="J271" s="882"/>
      <c r="K271" s="882"/>
      <c r="L271" s="882"/>
      <c r="M271" s="882"/>
      <c r="N271" s="882"/>
      <c r="O271" s="882"/>
      <c r="P271" s="882"/>
      <c r="Q271" s="882"/>
      <c r="R271" s="882"/>
      <c r="S271" s="882"/>
      <c r="T271" s="882"/>
      <c r="U271" s="882"/>
      <c r="V271" s="882"/>
      <c r="W271" s="882"/>
      <c r="X271" s="882"/>
    </row>
    <row r="272" spans="1:24" s="863" customFormat="1">
      <c r="A272" s="885"/>
      <c r="B272" s="886" t="s">
        <v>2036</v>
      </c>
      <c r="C272" s="887"/>
      <c r="D272" s="887"/>
      <c r="E272" s="887"/>
      <c r="F272" s="887"/>
      <c r="G272" s="866">
        <v>56355</v>
      </c>
      <c r="H272" s="887">
        <v>0</v>
      </c>
      <c r="I272" s="887">
        <v>0</v>
      </c>
      <c r="J272" s="887">
        <v>0</v>
      </c>
      <c r="K272" s="887">
        <v>0</v>
      </c>
      <c r="L272" s="887">
        <v>0</v>
      </c>
      <c r="M272" s="887">
        <v>0</v>
      </c>
      <c r="N272" s="887">
        <v>0</v>
      </c>
      <c r="O272" s="887">
        <v>0</v>
      </c>
      <c r="P272" s="887">
        <v>0</v>
      </c>
      <c r="Q272" s="887">
        <v>56355</v>
      </c>
      <c r="R272" s="887">
        <v>56355</v>
      </c>
      <c r="S272" s="887">
        <v>0</v>
      </c>
      <c r="T272" s="887"/>
      <c r="U272" s="887">
        <v>0</v>
      </c>
      <c r="V272" s="887">
        <v>0</v>
      </c>
      <c r="W272" s="887">
        <v>0</v>
      </c>
      <c r="X272" s="888" t="s">
        <v>2243</v>
      </c>
    </row>
    <row r="273" spans="1:24" s="853" customFormat="1" ht="31.5">
      <c r="A273" s="880"/>
      <c r="B273" s="881" t="s">
        <v>2467</v>
      </c>
      <c r="C273" s="880"/>
      <c r="D273" s="880"/>
      <c r="E273" s="880"/>
      <c r="F273" s="880"/>
      <c r="G273" s="882">
        <v>12448.4252</v>
      </c>
      <c r="H273" s="882">
        <v>0</v>
      </c>
      <c r="I273" s="882">
        <v>0</v>
      </c>
      <c r="J273" s="882">
        <v>0</v>
      </c>
      <c r="K273" s="882">
        <v>0</v>
      </c>
      <c r="L273" s="882">
        <v>0</v>
      </c>
      <c r="M273" s="882">
        <v>0</v>
      </c>
      <c r="N273" s="882">
        <v>0</v>
      </c>
      <c r="O273" s="882">
        <v>0</v>
      </c>
      <c r="P273" s="882">
        <v>0</v>
      </c>
      <c r="Q273" s="882">
        <v>0</v>
      </c>
      <c r="R273" s="882">
        <v>0</v>
      </c>
      <c r="S273" s="882">
        <v>0</v>
      </c>
      <c r="T273" s="882">
        <v>0</v>
      </c>
      <c r="U273" s="882">
        <v>0</v>
      </c>
      <c r="V273" s="882">
        <v>12448.4252</v>
      </c>
      <c r="W273" s="882"/>
      <c r="X273" s="882"/>
    </row>
    <row r="274" spans="1:24" s="853" customFormat="1">
      <c r="A274" s="880"/>
      <c r="B274" s="889" t="s">
        <v>2468</v>
      </c>
      <c r="C274" s="880"/>
      <c r="D274" s="880"/>
      <c r="E274" s="880"/>
      <c r="F274" s="880"/>
      <c r="G274" s="880">
        <v>12448.4252</v>
      </c>
      <c r="H274" s="880"/>
      <c r="I274" s="880"/>
      <c r="J274" s="880"/>
      <c r="K274" s="880"/>
      <c r="L274" s="880"/>
      <c r="M274" s="880"/>
      <c r="N274" s="880"/>
      <c r="O274" s="880"/>
      <c r="P274" s="880"/>
      <c r="Q274" s="880"/>
      <c r="R274" s="880"/>
      <c r="S274" s="880"/>
      <c r="T274" s="880"/>
      <c r="U274" s="880"/>
      <c r="V274" s="880">
        <v>12448.4252</v>
      </c>
      <c r="W274" s="880"/>
      <c r="X274" s="880"/>
    </row>
    <row r="275" spans="1:24" s="853" customFormat="1">
      <c r="A275" s="880"/>
      <c r="B275" s="881"/>
      <c r="C275" s="880"/>
      <c r="D275" s="880"/>
      <c r="E275" s="880"/>
      <c r="F275" s="880"/>
      <c r="G275" s="883"/>
      <c r="H275" s="882"/>
      <c r="I275" s="882"/>
      <c r="J275" s="882"/>
      <c r="K275" s="882"/>
      <c r="L275" s="882"/>
      <c r="M275" s="882"/>
      <c r="N275" s="882"/>
      <c r="O275" s="882"/>
      <c r="P275" s="882"/>
      <c r="Q275" s="882"/>
      <c r="R275" s="882"/>
      <c r="S275" s="882"/>
      <c r="T275" s="882"/>
      <c r="U275" s="882"/>
      <c r="V275" s="882"/>
      <c r="W275" s="882"/>
      <c r="X275" s="882"/>
    </row>
    <row r="276" spans="1:24" s="853" customFormat="1">
      <c r="A276" s="890" t="s">
        <v>2469</v>
      </c>
      <c r="B276" s="891"/>
      <c r="C276" s="892"/>
      <c r="D276" s="892"/>
      <c r="E276" s="892"/>
      <c r="F276" s="892"/>
      <c r="G276" s="892"/>
      <c r="H276" s="892"/>
      <c r="I276" s="892"/>
      <c r="J276" s="892"/>
      <c r="K276" s="892"/>
      <c r="L276" s="892"/>
      <c r="M276" s="892"/>
      <c r="N276" s="892"/>
      <c r="O276" s="892"/>
      <c r="P276" s="892"/>
      <c r="Q276" s="892"/>
      <c r="R276" s="892"/>
      <c r="S276" s="892"/>
      <c r="T276" s="892"/>
      <c r="U276" s="892"/>
      <c r="V276" s="892"/>
      <c r="W276" s="892"/>
      <c r="X276" s="893"/>
    </row>
    <row r="277" spans="1:24" s="354" customFormat="1" ht="31.5">
      <c r="A277" s="894" t="s">
        <v>1883</v>
      </c>
      <c r="B277" s="891" t="s">
        <v>2466</v>
      </c>
      <c r="C277" s="895">
        <v>8876.7617640000008</v>
      </c>
      <c r="D277" s="895">
        <v>231.511764</v>
      </c>
      <c r="E277" s="895">
        <v>0</v>
      </c>
      <c r="F277" s="895">
        <v>8645.25</v>
      </c>
      <c r="G277" s="895">
        <v>8851.1484079999991</v>
      </c>
      <c r="H277" s="895">
        <v>0</v>
      </c>
      <c r="I277" s="895">
        <v>0</v>
      </c>
      <c r="J277" s="895">
        <v>0</v>
      </c>
      <c r="K277" s="895">
        <v>0</v>
      </c>
      <c r="L277" s="895">
        <v>0</v>
      </c>
      <c r="M277" s="895">
        <v>0</v>
      </c>
      <c r="N277" s="895">
        <v>0</v>
      </c>
      <c r="O277" s="895">
        <v>0</v>
      </c>
      <c r="P277" s="895">
        <v>0</v>
      </c>
      <c r="Q277" s="895">
        <v>8851.1484079999991</v>
      </c>
      <c r="R277" s="895">
        <v>0</v>
      </c>
      <c r="S277" s="895">
        <v>8851.1484079999991</v>
      </c>
      <c r="T277" s="895">
        <v>0</v>
      </c>
      <c r="U277" s="895">
        <v>0</v>
      </c>
      <c r="V277" s="895">
        <v>0</v>
      </c>
      <c r="W277" s="895">
        <v>0</v>
      </c>
      <c r="X277" s="893" t="s">
        <v>2479</v>
      </c>
    </row>
    <row r="278" spans="1:24" s="853" customFormat="1" ht="31.5">
      <c r="A278" s="890" t="s">
        <v>2469</v>
      </c>
      <c r="B278" s="896" t="s">
        <v>1997</v>
      </c>
      <c r="C278" s="892">
        <v>481.5</v>
      </c>
      <c r="D278" s="892">
        <v>0</v>
      </c>
      <c r="E278" s="892">
        <v>0</v>
      </c>
      <c r="F278" s="892">
        <v>481.5</v>
      </c>
      <c r="G278" s="892">
        <v>481.5</v>
      </c>
      <c r="H278" s="892">
        <v>0</v>
      </c>
      <c r="I278" s="892">
        <v>0</v>
      </c>
      <c r="J278" s="892">
        <v>0</v>
      </c>
      <c r="K278" s="892">
        <v>0</v>
      </c>
      <c r="L278" s="892">
        <v>0</v>
      </c>
      <c r="M278" s="892">
        <v>0</v>
      </c>
      <c r="N278" s="892">
        <v>0</v>
      </c>
      <c r="O278" s="892">
        <v>0</v>
      </c>
      <c r="P278" s="892">
        <v>0</v>
      </c>
      <c r="Q278" s="892">
        <v>481.5</v>
      </c>
      <c r="R278" s="892">
        <v>0</v>
      </c>
      <c r="S278" s="892">
        <v>481.5</v>
      </c>
      <c r="T278" s="892">
        <v>0</v>
      </c>
      <c r="U278" s="892">
        <v>0</v>
      </c>
      <c r="V278" s="892">
        <v>0</v>
      </c>
      <c r="W278" s="892">
        <v>0</v>
      </c>
      <c r="X278" s="897" t="s">
        <v>2243</v>
      </c>
    </row>
    <row r="279" spans="1:24" s="853" customFormat="1" ht="31.5">
      <c r="A279" s="890" t="s">
        <v>2469</v>
      </c>
      <c r="B279" s="896" t="s">
        <v>1998</v>
      </c>
      <c r="C279" s="892">
        <v>1527.74</v>
      </c>
      <c r="D279" s="892">
        <v>0</v>
      </c>
      <c r="E279" s="892">
        <v>0</v>
      </c>
      <c r="F279" s="892">
        <v>1527.74</v>
      </c>
      <c r="G279" s="892">
        <v>1527.74</v>
      </c>
      <c r="H279" s="892">
        <v>0</v>
      </c>
      <c r="I279" s="892">
        <v>0</v>
      </c>
      <c r="J279" s="892">
        <v>0</v>
      </c>
      <c r="K279" s="892">
        <v>0</v>
      </c>
      <c r="L279" s="892">
        <v>0</v>
      </c>
      <c r="M279" s="892">
        <v>0</v>
      </c>
      <c r="N279" s="892">
        <v>0</v>
      </c>
      <c r="O279" s="892">
        <v>0</v>
      </c>
      <c r="P279" s="892">
        <v>0</v>
      </c>
      <c r="Q279" s="892">
        <v>1527.74</v>
      </c>
      <c r="R279" s="892">
        <v>0</v>
      </c>
      <c r="S279" s="892">
        <v>1527.74</v>
      </c>
      <c r="T279" s="892">
        <v>0</v>
      </c>
      <c r="U279" s="892">
        <v>0</v>
      </c>
      <c r="V279" s="892">
        <v>0</v>
      </c>
      <c r="W279" s="892">
        <v>0</v>
      </c>
      <c r="X279" s="897" t="s">
        <v>2243</v>
      </c>
    </row>
    <row r="280" spans="1:24" s="853" customFormat="1" ht="31.5">
      <c r="A280" s="890" t="s">
        <v>2469</v>
      </c>
      <c r="B280" s="896" t="s">
        <v>1999</v>
      </c>
      <c r="C280" s="892">
        <v>85.692999999999998</v>
      </c>
      <c r="D280" s="892">
        <v>85.692999999999998</v>
      </c>
      <c r="E280" s="892">
        <v>0</v>
      </c>
      <c r="F280" s="892">
        <v>0</v>
      </c>
      <c r="G280" s="892">
        <v>85.692999999999998</v>
      </c>
      <c r="H280" s="892">
        <v>0</v>
      </c>
      <c r="I280" s="892">
        <v>0</v>
      </c>
      <c r="J280" s="892">
        <v>0</v>
      </c>
      <c r="K280" s="892">
        <v>0</v>
      </c>
      <c r="L280" s="892">
        <v>0</v>
      </c>
      <c r="M280" s="892">
        <v>0</v>
      </c>
      <c r="N280" s="892">
        <v>0</v>
      </c>
      <c r="O280" s="892">
        <v>0</v>
      </c>
      <c r="P280" s="892">
        <v>0</v>
      </c>
      <c r="Q280" s="892">
        <v>85.692999999999998</v>
      </c>
      <c r="R280" s="892">
        <v>0</v>
      </c>
      <c r="S280" s="892">
        <v>85.692999999999998</v>
      </c>
      <c r="T280" s="892">
        <v>0</v>
      </c>
      <c r="U280" s="892">
        <v>0</v>
      </c>
      <c r="V280" s="892">
        <v>0</v>
      </c>
      <c r="W280" s="892">
        <v>0</v>
      </c>
      <c r="X280" s="897" t="s">
        <v>2243</v>
      </c>
    </row>
    <row r="281" spans="1:24" s="853" customFormat="1" ht="31.5">
      <c r="A281" s="890" t="s">
        <v>2469</v>
      </c>
      <c r="B281" s="896" t="s">
        <v>2012</v>
      </c>
      <c r="C281" s="892">
        <v>4290.34</v>
      </c>
      <c r="D281" s="892">
        <v>0</v>
      </c>
      <c r="E281" s="892">
        <v>0</v>
      </c>
      <c r="F281" s="892">
        <v>4290.34</v>
      </c>
      <c r="G281" s="892">
        <v>4288.7092400000001</v>
      </c>
      <c r="H281" s="892">
        <v>0</v>
      </c>
      <c r="I281" s="892">
        <v>0</v>
      </c>
      <c r="J281" s="892">
        <v>0</v>
      </c>
      <c r="K281" s="892">
        <v>0</v>
      </c>
      <c r="L281" s="892">
        <v>0</v>
      </c>
      <c r="M281" s="892">
        <v>0</v>
      </c>
      <c r="N281" s="892">
        <v>0</v>
      </c>
      <c r="O281" s="892">
        <v>0</v>
      </c>
      <c r="P281" s="892">
        <v>0</v>
      </c>
      <c r="Q281" s="892">
        <v>4288.7092400000001</v>
      </c>
      <c r="R281" s="892">
        <v>0</v>
      </c>
      <c r="S281" s="892">
        <v>4288.7092400000001</v>
      </c>
      <c r="T281" s="892">
        <v>0</v>
      </c>
      <c r="U281" s="892">
        <v>0</v>
      </c>
      <c r="V281" s="892">
        <v>0</v>
      </c>
      <c r="W281" s="892">
        <v>0</v>
      </c>
      <c r="X281" s="897" t="s">
        <v>2537</v>
      </c>
    </row>
    <row r="282" spans="1:24" s="853" customFormat="1" ht="31.5">
      <c r="A282" s="890" t="s">
        <v>2469</v>
      </c>
      <c r="B282" s="896" t="s">
        <v>2017</v>
      </c>
      <c r="C282" s="892">
        <v>2491.4887640000002</v>
      </c>
      <c r="D282" s="892">
        <v>145.81876399999999</v>
      </c>
      <c r="E282" s="892">
        <v>0</v>
      </c>
      <c r="F282" s="892">
        <v>2345.67</v>
      </c>
      <c r="G282" s="892">
        <v>2467.5061679999999</v>
      </c>
      <c r="H282" s="892">
        <v>0</v>
      </c>
      <c r="I282" s="892">
        <v>0</v>
      </c>
      <c r="J282" s="892">
        <v>0</v>
      </c>
      <c r="K282" s="892">
        <v>0</v>
      </c>
      <c r="L282" s="892">
        <v>0</v>
      </c>
      <c r="M282" s="892">
        <v>0</v>
      </c>
      <c r="N282" s="892">
        <v>0</v>
      </c>
      <c r="O282" s="892">
        <v>0</v>
      </c>
      <c r="P282" s="892">
        <v>0</v>
      </c>
      <c r="Q282" s="892">
        <v>2467.5061679999999</v>
      </c>
      <c r="R282" s="892">
        <v>0</v>
      </c>
      <c r="S282" s="892">
        <v>2467.5061679999999</v>
      </c>
      <c r="T282" s="892">
        <v>0</v>
      </c>
      <c r="U282" s="892">
        <v>0</v>
      </c>
      <c r="V282" s="892">
        <v>0</v>
      </c>
      <c r="W282" s="892">
        <v>0</v>
      </c>
      <c r="X282" s="897" t="s">
        <v>2630</v>
      </c>
    </row>
    <row r="283" spans="1:24" s="853" customFormat="1">
      <c r="A283" s="880"/>
      <c r="B283" s="881"/>
      <c r="C283" s="880"/>
      <c r="D283" s="880"/>
      <c r="E283" s="880"/>
      <c r="F283" s="880"/>
      <c r="G283" s="883"/>
      <c r="H283" s="882"/>
      <c r="I283" s="882"/>
      <c r="J283" s="882"/>
      <c r="K283" s="882"/>
      <c r="L283" s="882"/>
      <c r="M283" s="882"/>
      <c r="N283" s="882"/>
      <c r="O283" s="882"/>
      <c r="P283" s="882"/>
      <c r="Q283" s="882"/>
      <c r="R283" s="882"/>
      <c r="S283" s="882"/>
      <c r="T283" s="882"/>
      <c r="U283" s="882"/>
      <c r="V283" s="882"/>
      <c r="W283" s="882"/>
      <c r="X283" s="882"/>
    </row>
    <row r="284" spans="1:24" s="853" customFormat="1">
      <c r="A284" s="880"/>
      <c r="B284" s="881"/>
      <c r="C284" s="880"/>
      <c r="D284" s="880"/>
      <c r="E284" s="880"/>
      <c r="F284" s="880"/>
      <c r="G284" s="883"/>
      <c r="H284" s="882"/>
      <c r="I284" s="882"/>
      <c r="J284" s="882"/>
      <c r="K284" s="882"/>
      <c r="L284" s="882"/>
      <c r="M284" s="882"/>
      <c r="N284" s="882"/>
      <c r="O284" s="882"/>
      <c r="P284" s="882"/>
      <c r="Q284" s="882"/>
      <c r="R284" s="882"/>
      <c r="S284" s="882"/>
      <c r="T284" s="882"/>
      <c r="U284" s="882"/>
      <c r="V284" s="882"/>
      <c r="W284" s="882"/>
      <c r="X284" s="882"/>
    </row>
    <row r="285" spans="1:24" s="354" customFormat="1" ht="64.5" customHeight="1">
      <c r="A285" s="882"/>
      <c r="B285" s="884" t="s">
        <v>2187</v>
      </c>
      <c r="C285" s="898">
        <v>4568</v>
      </c>
      <c r="D285" s="898">
        <v>0</v>
      </c>
      <c r="E285" s="898">
        <v>0</v>
      </c>
      <c r="F285" s="898">
        <v>4568</v>
      </c>
      <c r="G285" s="898">
        <v>2455.2199999999998</v>
      </c>
      <c r="H285" s="898">
        <v>0</v>
      </c>
      <c r="I285" s="898">
        <v>0</v>
      </c>
      <c r="J285" s="898">
        <v>0</v>
      </c>
      <c r="K285" s="898">
        <v>0</v>
      </c>
      <c r="L285" s="898">
        <v>0</v>
      </c>
      <c r="M285" s="898">
        <v>0</v>
      </c>
      <c r="N285" s="898">
        <v>0</v>
      </c>
      <c r="O285" s="898">
        <v>0</v>
      </c>
      <c r="P285" s="898">
        <v>0</v>
      </c>
      <c r="Q285" s="898">
        <v>2455.2199999999998</v>
      </c>
      <c r="R285" s="898">
        <v>0</v>
      </c>
      <c r="S285" s="898">
        <v>0</v>
      </c>
      <c r="T285" s="898">
        <v>2455.2199999999998</v>
      </c>
      <c r="U285" s="898">
        <v>0</v>
      </c>
      <c r="V285" s="898">
        <v>0</v>
      </c>
      <c r="W285" s="898">
        <v>0</v>
      </c>
      <c r="X285" s="882"/>
    </row>
    <row r="286" spans="1:24" s="853" customFormat="1">
      <c r="A286" s="899" t="s">
        <v>1883</v>
      </c>
      <c r="B286" s="900" t="s">
        <v>2475</v>
      </c>
      <c r="C286" s="892">
        <v>40</v>
      </c>
      <c r="D286" s="892">
        <v>0</v>
      </c>
      <c r="E286" s="892">
        <v>0</v>
      </c>
      <c r="F286" s="892">
        <v>40</v>
      </c>
      <c r="G286" s="892">
        <v>40</v>
      </c>
      <c r="H286" s="892">
        <v>0</v>
      </c>
      <c r="I286" s="892">
        <v>0</v>
      </c>
      <c r="J286" s="892">
        <v>0</v>
      </c>
      <c r="K286" s="892">
        <v>0</v>
      </c>
      <c r="L286" s="892">
        <v>0</v>
      </c>
      <c r="M286" s="892">
        <v>0</v>
      </c>
      <c r="N286" s="892">
        <v>0</v>
      </c>
      <c r="O286" s="892">
        <v>0</v>
      </c>
      <c r="P286" s="892">
        <v>0</v>
      </c>
      <c r="Q286" s="892">
        <v>40</v>
      </c>
      <c r="R286" s="892">
        <v>0</v>
      </c>
      <c r="S286" s="892">
        <v>0</v>
      </c>
      <c r="T286" s="892">
        <v>40</v>
      </c>
      <c r="U286" s="892">
        <v>0</v>
      </c>
      <c r="V286" s="892">
        <v>0</v>
      </c>
      <c r="W286" s="892">
        <v>0</v>
      </c>
      <c r="X286" s="901" t="s">
        <v>2243</v>
      </c>
    </row>
    <row r="287" spans="1:24" s="853" customFormat="1" ht="31.5">
      <c r="A287" s="899" t="s">
        <v>2469</v>
      </c>
      <c r="B287" s="902" t="s">
        <v>1989</v>
      </c>
      <c r="C287" s="892">
        <v>40</v>
      </c>
      <c r="D287" s="892">
        <v>0</v>
      </c>
      <c r="E287" s="892">
        <v>0</v>
      </c>
      <c r="F287" s="892">
        <v>40</v>
      </c>
      <c r="G287" s="892">
        <v>40</v>
      </c>
      <c r="H287" s="892">
        <v>0</v>
      </c>
      <c r="I287" s="892">
        <v>0</v>
      </c>
      <c r="J287" s="892">
        <v>0</v>
      </c>
      <c r="K287" s="892">
        <v>0</v>
      </c>
      <c r="L287" s="892">
        <v>0</v>
      </c>
      <c r="M287" s="892">
        <v>0</v>
      </c>
      <c r="N287" s="892">
        <v>0</v>
      </c>
      <c r="O287" s="892">
        <v>0</v>
      </c>
      <c r="P287" s="892">
        <v>0</v>
      </c>
      <c r="Q287" s="892">
        <v>40</v>
      </c>
      <c r="R287" s="892">
        <v>0</v>
      </c>
      <c r="S287" s="892">
        <v>0</v>
      </c>
      <c r="T287" s="892">
        <v>40</v>
      </c>
      <c r="U287" s="892">
        <v>0</v>
      </c>
      <c r="V287" s="892">
        <v>0</v>
      </c>
      <c r="W287" s="892">
        <v>0</v>
      </c>
      <c r="X287" s="901" t="s">
        <v>2243</v>
      </c>
    </row>
    <row r="288" spans="1:24" s="853" customFormat="1">
      <c r="A288" s="899" t="s">
        <v>1884</v>
      </c>
      <c r="B288" s="900" t="s">
        <v>509</v>
      </c>
      <c r="C288" s="892">
        <v>40</v>
      </c>
      <c r="D288" s="892">
        <v>0</v>
      </c>
      <c r="E288" s="892">
        <v>0</v>
      </c>
      <c r="F288" s="892">
        <v>40</v>
      </c>
      <c r="G288" s="892">
        <v>40</v>
      </c>
      <c r="H288" s="892">
        <v>0</v>
      </c>
      <c r="I288" s="892">
        <v>0</v>
      </c>
      <c r="J288" s="892">
        <v>0</v>
      </c>
      <c r="K288" s="892">
        <v>0</v>
      </c>
      <c r="L288" s="892">
        <v>0</v>
      </c>
      <c r="M288" s="892">
        <v>0</v>
      </c>
      <c r="N288" s="892">
        <v>0</v>
      </c>
      <c r="O288" s="892">
        <v>0</v>
      </c>
      <c r="P288" s="892">
        <v>0</v>
      </c>
      <c r="Q288" s="892">
        <v>40</v>
      </c>
      <c r="R288" s="892">
        <v>0</v>
      </c>
      <c r="S288" s="892">
        <v>0</v>
      </c>
      <c r="T288" s="892">
        <v>40</v>
      </c>
      <c r="U288" s="892">
        <v>0</v>
      </c>
      <c r="V288" s="892">
        <v>0</v>
      </c>
      <c r="W288" s="892">
        <v>0</v>
      </c>
      <c r="X288" s="901" t="s">
        <v>2243</v>
      </c>
    </row>
    <row r="289" spans="1:24" s="853" customFormat="1">
      <c r="A289" s="899" t="s">
        <v>2469</v>
      </c>
      <c r="B289" s="902" t="s">
        <v>2030</v>
      </c>
      <c r="C289" s="892">
        <v>40</v>
      </c>
      <c r="D289" s="892">
        <v>0</v>
      </c>
      <c r="E289" s="892">
        <v>0</v>
      </c>
      <c r="F289" s="892">
        <v>40</v>
      </c>
      <c r="G289" s="892">
        <v>40</v>
      </c>
      <c r="H289" s="892">
        <v>0</v>
      </c>
      <c r="I289" s="892">
        <v>0</v>
      </c>
      <c r="J289" s="892">
        <v>0</v>
      </c>
      <c r="K289" s="892">
        <v>0</v>
      </c>
      <c r="L289" s="892">
        <v>0</v>
      </c>
      <c r="M289" s="892">
        <v>0</v>
      </c>
      <c r="N289" s="892">
        <v>0</v>
      </c>
      <c r="O289" s="892">
        <v>0</v>
      </c>
      <c r="P289" s="892">
        <v>0</v>
      </c>
      <c r="Q289" s="892">
        <v>40</v>
      </c>
      <c r="R289" s="892">
        <v>0</v>
      </c>
      <c r="S289" s="892">
        <v>0</v>
      </c>
      <c r="T289" s="892">
        <v>40</v>
      </c>
      <c r="U289" s="892">
        <v>0</v>
      </c>
      <c r="V289" s="892">
        <v>0</v>
      </c>
      <c r="W289" s="892">
        <v>0</v>
      </c>
      <c r="X289" s="901" t="s">
        <v>2243</v>
      </c>
    </row>
    <row r="290" spans="1:24" s="853" customFormat="1">
      <c r="A290" s="899" t="s">
        <v>1885</v>
      </c>
      <c r="B290" s="900" t="s">
        <v>2247</v>
      </c>
      <c r="C290" s="892">
        <v>2498</v>
      </c>
      <c r="D290" s="892">
        <v>0</v>
      </c>
      <c r="E290" s="892">
        <v>0</v>
      </c>
      <c r="F290" s="892">
        <v>2498</v>
      </c>
      <c r="G290" s="892">
        <v>385.22</v>
      </c>
      <c r="H290" s="892">
        <v>0</v>
      </c>
      <c r="I290" s="892">
        <v>0</v>
      </c>
      <c r="J290" s="892">
        <v>0</v>
      </c>
      <c r="K290" s="892">
        <v>0</v>
      </c>
      <c r="L290" s="892">
        <v>0</v>
      </c>
      <c r="M290" s="892">
        <v>0</v>
      </c>
      <c r="N290" s="892">
        <v>0</v>
      </c>
      <c r="O290" s="892">
        <v>0</v>
      </c>
      <c r="P290" s="892">
        <v>0</v>
      </c>
      <c r="Q290" s="892">
        <v>385.22</v>
      </c>
      <c r="R290" s="892">
        <v>0</v>
      </c>
      <c r="S290" s="892">
        <v>0</v>
      </c>
      <c r="T290" s="892">
        <v>385.22</v>
      </c>
      <c r="U290" s="892">
        <v>0</v>
      </c>
      <c r="V290" s="892">
        <v>0</v>
      </c>
      <c r="W290" s="892">
        <v>0</v>
      </c>
      <c r="X290" s="901" t="s">
        <v>2631</v>
      </c>
    </row>
    <row r="291" spans="1:24" s="853" customFormat="1" ht="31.5">
      <c r="A291" s="899" t="s">
        <v>2469</v>
      </c>
      <c r="B291" s="902" t="s">
        <v>2035</v>
      </c>
      <c r="C291" s="892">
        <v>2498</v>
      </c>
      <c r="D291" s="892">
        <v>0</v>
      </c>
      <c r="E291" s="892">
        <v>0</v>
      </c>
      <c r="F291" s="892">
        <v>2498</v>
      </c>
      <c r="G291" s="892">
        <v>385.22</v>
      </c>
      <c r="H291" s="892">
        <v>0</v>
      </c>
      <c r="I291" s="892">
        <v>0</v>
      </c>
      <c r="J291" s="892">
        <v>0</v>
      </c>
      <c r="K291" s="892">
        <v>0</v>
      </c>
      <c r="L291" s="892">
        <v>0</v>
      </c>
      <c r="M291" s="892">
        <v>0</v>
      </c>
      <c r="N291" s="892">
        <v>0</v>
      </c>
      <c r="O291" s="892">
        <v>0</v>
      </c>
      <c r="P291" s="892">
        <v>0</v>
      </c>
      <c r="Q291" s="892">
        <v>385.22</v>
      </c>
      <c r="R291" s="892">
        <v>0</v>
      </c>
      <c r="S291" s="892">
        <v>0</v>
      </c>
      <c r="T291" s="892">
        <v>385.22</v>
      </c>
      <c r="U291" s="892">
        <v>0</v>
      </c>
      <c r="V291" s="892">
        <v>0</v>
      </c>
      <c r="W291" s="892">
        <v>0</v>
      </c>
      <c r="X291" s="901" t="s">
        <v>2631</v>
      </c>
    </row>
    <row r="292" spans="1:24" s="853" customFormat="1">
      <c r="A292" s="899" t="s">
        <v>1886</v>
      </c>
      <c r="B292" s="900" t="s">
        <v>373</v>
      </c>
      <c r="C292" s="892">
        <v>80</v>
      </c>
      <c r="D292" s="892">
        <v>0</v>
      </c>
      <c r="E292" s="892">
        <v>0</v>
      </c>
      <c r="F292" s="892">
        <v>80</v>
      </c>
      <c r="G292" s="892">
        <v>80</v>
      </c>
      <c r="H292" s="892">
        <v>0</v>
      </c>
      <c r="I292" s="892">
        <v>0</v>
      </c>
      <c r="J292" s="892">
        <v>0</v>
      </c>
      <c r="K292" s="892">
        <v>0</v>
      </c>
      <c r="L292" s="892">
        <v>0</v>
      </c>
      <c r="M292" s="892">
        <v>0</v>
      </c>
      <c r="N292" s="892">
        <v>0</v>
      </c>
      <c r="O292" s="892">
        <v>0</v>
      </c>
      <c r="P292" s="892">
        <v>0</v>
      </c>
      <c r="Q292" s="892">
        <v>80</v>
      </c>
      <c r="R292" s="892">
        <v>0</v>
      </c>
      <c r="S292" s="892">
        <v>0</v>
      </c>
      <c r="T292" s="892">
        <v>80</v>
      </c>
      <c r="U292" s="892">
        <v>0</v>
      </c>
      <c r="V292" s="892">
        <v>0</v>
      </c>
      <c r="W292" s="892">
        <v>0</v>
      </c>
      <c r="X292" s="901" t="s">
        <v>2243</v>
      </c>
    </row>
    <row r="293" spans="1:24" s="853" customFormat="1" ht="31.5">
      <c r="A293" s="899" t="s">
        <v>2469</v>
      </c>
      <c r="B293" s="902" t="s">
        <v>2038</v>
      </c>
      <c r="C293" s="892">
        <v>80</v>
      </c>
      <c r="D293" s="892">
        <v>0</v>
      </c>
      <c r="E293" s="892">
        <v>0</v>
      </c>
      <c r="F293" s="892">
        <v>80</v>
      </c>
      <c r="G293" s="892">
        <v>80</v>
      </c>
      <c r="H293" s="892">
        <v>0</v>
      </c>
      <c r="I293" s="892">
        <v>0</v>
      </c>
      <c r="J293" s="892">
        <v>0</v>
      </c>
      <c r="K293" s="892">
        <v>0</v>
      </c>
      <c r="L293" s="892">
        <v>0</v>
      </c>
      <c r="M293" s="892">
        <v>0</v>
      </c>
      <c r="N293" s="892">
        <v>0</v>
      </c>
      <c r="O293" s="892">
        <v>0</v>
      </c>
      <c r="P293" s="892">
        <v>0</v>
      </c>
      <c r="Q293" s="892">
        <v>80</v>
      </c>
      <c r="R293" s="892">
        <v>0</v>
      </c>
      <c r="S293" s="892">
        <v>0</v>
      </c>
      <c r="T293" s="892">
        <v>80</v>
      </c>
      <c r="U293" s="892">
        <v>0</v>
      </c>
      <c r="V293" s="892">
        <v>0</v>
      </c>
      <c r="W293" s="892">
        <v>0</v>
      </c>
      <c r="X293" s="901" t="s">
        <v>2243</v>
      </c>
    </row>
    <row r="294" spans="1:24" s="853" customFormat="1">
      <c r="A294" s="899" t="s">
        <v>1976</v>
      </c>
      <c r="B294" s="900" t="s">
        <v>2254</v>
      </c>
      <c r="C294" s="892">
        <v>40</v>
      </c>
      <c r="D294" s="892">
        <v>0</v>
      </c>
      <c r="E294" s="892">
        <v>0</v>
      </c>
      <c r="F294" s="892">
        <v>40</v>
      </c>
      <c r="G294" s="892">
        <v>40</v>
      </c>
      <c r="H294" s="892">
        <v>0</v>
      </c>
      <c r="I294" s="892">
        <v>0</v>
      </c>
      <c r="J294" s="892">
        <v>0</v>
      </c>
      <c r="K294" s="892">
        <v>0</v>
      </c>
      <c r="L294" s="892">
        <v>0</v>
      </c>
      <c r="M294" s="892">
        <v>0</v>
      </c>
      <c r="N294" s="892">
        <v>0</v>
      </c>
      <c r="O294" s="892">
        <v>0</v>
      </c>
      <c r="P294" s="892">
        <v>0</v>
      </c>
      <c r="Q294" s="892">
        <v>40</v>
      </c>
      <c r="R294" s="892">
        <v>0</v>
      </c>
      <c r="S294" s="892">
        <v>0</v>
      </c>
      <c r="T294" s="892">
        <v>40</v>
      </c>
      <c r="U294" s="892">
        <v>0</v>
      </c>
      <c r="V294" s="892">
        <v>0</v>
      </c>
      <c r="W294" s="892">
        <v>0</v>
      </c>
      <c r="X294" s="901" t="s">
        <v>2243</v>
      </c>
    </row>
    <row r="295" spans="1:24" s="853" customFormat="1" ht="31.5">
      <c r="A295" s="899" t="s">
        <v>2469</v>
      </c>
      <c r="B295" s="902" t="s">
        <v>2124</v>
      </c>
      <c r="C295" s="892">
        <v>40</v>
      </c>
      <c r="D295" s="892">
        <v>0</v>
      </c>
      <c r="E295" s="892">
        <v>0</v>
      </c>
      <c r="F295" s="892">
        <v>40</v>
      </c>
      <c r="G295" s="892">
        <v>40</v>
      </c>
      <c r="H295" s="892">
        <v>0</v>
      </c>
      <c r="I295" s="892">
        <v>0</v>
      </c>
      <c r="J295" s="892">
        <v>0</v>
      </c>
      <c r="K295" s="892">
        <v>0</v>
      </c>
      <c r="L295" s="892">
        <v>0</v>
      </c>
      <c r="M295" s="892">
        <v>0</v>
      </c>
      <c r="N295" s="892">
        <v>0</v>
      </c>
      <c r="O295" s="892">
        <v>0</v>
      </c>
      <c r="P295" s="892">
        <v>0</v>
      </c>
      <c r="Q295" s="892">
        <v>40</v>
      </c>
      <c r="R295" s="892">
        <v>0</v>
      </c>
      <c r="S295" s="892">
        <v>0</v>
      </c>
      <c r="T295" s="892">
        <v>40</v>
      </c>
      <c r="U295" s="892">
        <v>0</v>
      </c>
      <c r="V295" s="892">
        <v>0</v>
      </c>
      <c r="W295" s="892">
        <v>0</v>
      </c>
      <c r="X295" s="901" t="s">
        <v>2243</v>
      </c>
    </row>
    <row r="296" spans="1:24" s="853" customFormat="1">
      <c r="A296" s="899" t="s">
        <v>1977</v>
      </c>
      <c r="B296" s="900" t="s">
        <v>2520</v>
      </c>
      <c r="C296" s="892">
        <v>1870</v>
      </c>
      <c r="D296" s="892">
        <v>0</v>
      </c>
      <c r="E296" s="892">
        <v>0</v>
      </c>
      <c r="F296" s="892">
        <v>1870</v>
      </c>
      <c r="G296" s="892">
        <v>1870</v>
      </c>
      <c r="H296" s="892">
        <v>0</v>
      </c>
      <c r="I296" s="892">
        <v>0</v>
      </c>
      <c r="J296" s="892">
        <v>0</v>
      </c>
      <c r="K296" s="892">
        <v>0</v>
      </c>
      <c r="L296" s="892">
        <v>0</v>
      </c>
      <c r="M296" s="892">
        <v>0</v>
      </c>
      <c r="N296" s="892">
        <v>0</v>
      </c>
      <c r="O296" s="892">
        <v>0</v>
      </c>
      <c r="P296" s="892">
        <v>0</v>
      </c>
      <c r="Q296" s="892">
        <v>1870</v>
      </c>
      <c r="R296" s="892">
        <v>0</v>
      </c>
      <c r="S296" s="892">
        <v>0</v>
      </c>
      <c r="T296" s="892">
        <v>1870</v>
      </c>
      <c r="U296" s="892">
        <v>0</v>
      </c>
      <c r="V296" s="892">
        <v>0</v>
      </c>
      <c r="W296" s="892">
        <v>0</v>
      </c>
      <c r="X296" s="901" t="s">
        <v>2243</v>
      </c>
    </row>
    <row r="297" spans="1:24" s="853" customFormat="1">
      <c r="A297" s="899" t="s">
        <v>2469</v>
      </c>
      <c r="B297" s="902" t="s">
        <v>2477</v>
      </c>
      <c r="C297" s="892">
        <v>30</v>
      </c>
      <c r="D297" s="892">
        <v>0</v>
      </c>
      <c r="E297" s="892">
        <v>0</v>
      </c>
      <c r="F297" s="892">
        <v>30</v>
      </c>
      <c r="G297" s="892">
        <v>30</v>
      </c>
      <c r="H297" s="892">
        <v>0</v>
      </c>
      <c r="I297" s="892">
        <v>0</v>
      </c>
      <c r="J297" s="892">
        <v>0</v>
      </c>
      <c r="K297" s="892">
        <v>0</v>
      </c>
      <c r="L297" s="892">
        <v>0</v>
      </c>
      <c r="M297" s="892">
        <v>0</v>
      </c>
      <c r="N297" s="892">
        <v>0</v>
      </c>
      <c r="O297" s="892">
        <v>0</v>
      </c>
      <c r="P297" s="892">
        <v>0</v>
      </c>
      <c r="Q297" s="892">
        <v>30</v>
      </c>
      <c r="R297" s="892">
        <v>0</v>
      </c>
      <c r="S297" s="892">
        <v>0</v>
      </c>
      <c r="T297" s="892">
        <v>30</v>
      </c>
      <c r="U297" s="892">
        <v>0</v>
      </c>
      <c r="V297" s="892">
        <v>0</v>
      </c>
      <c r="W297" s="892">
        <v>0</v>
      </c>
      <c r="X297" s="901" t="s">
        <v>2243</v>
      </c>
    </row>
    <row r="298" spans="1:24" s="853" customFormat="1">
      <c r="A298" s="899" t="s">
        <v>2469</v>
      </c>
      <c r="B298" s="902" t="s">
        <v>2153</v>
      </c>
      <c r="C298" s="892">
        <v>40</v>
      </c>
      <c r="D298" s="892">
        <v>0</v>
      </c>
      <c r="E298" s="892">
        <v>0</v>
      </c>
      <c r="F298" s="892">
        <v>40</v>
      </c>
      <c r="G298" s="892">
        <v>40</v>
      </c>
      <c r="H298" s="892">
        <v>0</v>
      </c>
      <c r="I298" s="892">
        <v>0</v>
      </c>
      <c r="J298" s="892">
        <v>0</v>
      </c>
      <c r="K298" s="892">
        <v>0</v>
      </c>
      <c r="L298" s="892">
        <v>0</v>
      </c>
      <c r="M298" s="892">
        <v>0</v>
      </c>
      <c r="N298" s="892">
        <v>0</v>
      </c>
      <c r="O298" s="892">
        <v>0</v>
      </c>
      <c r="P298" s="892">
        <v>0</v>
      </c>
      <c r="Q298" s="892">
        <v>40</v>
      </c>
      <c r="R298" s="892">
        <v>0</v>
      </c>
      <c r="S298" s="892">
        <v>0</v>
      </c>
      <c r="T298" s="892">
        <v>40</v>
      </c>
      <c r="U298" s="892">
        <v>0</v>
      </c>
      <c r="V298" s="892">
        <v>0</v>
      </c>
      <c r="W298" s="892">
        <v>0</v>
      </c>
      <c r="X298" s="901" t="s">
        <v>2243</v>
      </c>
    </row>
    <row r="299" spans="1:24" s="853" customFormat="1" ht="31.5">
      <c r="A299" s="899" t="s">
        <v>2469</v>
      </c>
      <c r="B299" s="902" t="s">
        <v>2157</v>
      </c>
      <c r="C299" s="892">
        <v>220</v>
      </c>
      <c r="D299" s="892">
        <v>0</v>
      </c>
      <c r="E299" s="892">
        <v>0</v>
      </c>
      <c r="F299" s="892">
        <v>220</v>
      </c>
      <c r="G299" s="892">
        <v>220</v>
      </c>
      <c r="H299" s="892">
        <v>0</v>
      </c>
      <c r="I299" s="892">
        <v>0</v>
      </c>
      <c r="J299" s="892">
        <v>0</v>
      </c>
      <c r="K299" s="892">
        <v>0</v>
      </c>
      <c r="L299" s="892">
        <v>0</v>
      </c>
      <c r="M299" s="892">
        <v>0</v>
      </c>
      <c r="N299" s="892">
        <v>0</v>
      </c>
      <c r="O299" s="892">
        <v>0</v>
      </c>
      <c r="P299" s="892">
        <v>0</v>
      </c>
      <c r="Q299" s="892">
        <v>220</v>
      </c>
      <c r="R299" s="892">
        <v>0</v>
      </c>
      <c r="S299" s="892">
        <v>0</v>
      </c>
      <c r="T299" s="892">
        <v>220</v>
      </c>
      <c r="U299" s="892">
        <v>0</v>
      </c>
      <c r="V299" s="892">
        <v>0</v>
      </c>
      <c r="W299" s="892">
        <v>0</v>
      </c>
      <c r="X299" s="901" t="s">
        <v>2243</v>
      </c>
    </row>
    <row r="300" spans="1:24" s="853" customFormat="1" ht="31.5">
      <c r="A300" s="899" t="s">
        <v>2469</v>
      </c>
      <c r="B300" s="902" t="s">
        <v>2158</v>
      </c>
      <c r="C300" s="892">
        <v>300</v>
      </c>
      <c r="D300" s="892">
        <v>0</v>
      </c>
      <c r="E300" s="892">
        <v>0</v>
      </c>
      <c r="F300" s="892">
        <v>300</v>
      </c>
      <c r="G300" s="892">
        <v>300</v>
      </c>
      <c r="H300" s="892">
        <v>0</v>
      </c>
      <c r="I300" s="892">
        <v>0</v>
      </c>
      <c r="J300" s="892">
        <v>0</v>
      </c>
      <c r="K300" s="892">
        <v>0</v>
      </c>
      <c r="L300" s="892">
        <v>0</v>
      </c>
      <c r="M300" s="892">
        <v>0</v>
      </c>
      <c r="N300" s="892">
        <v>0</v>
      </c>
      <c r="O300" s="892">
        <v>0</v>
      </c>
      <c r="P300" s="892">
        <v>0</v>
      </c>
      <c r="Q300" s="892">
        <v>300</v>
      </c>
      <c r="R300" s="892">
        <v>0</v>
      </c>
      <c r="S300" s="892">
        <v>0</v>
      </c>
      <c r="T300" s="892">
        <v>300</v>
      </c>
      <c r="U300" s="892">
        <v>0</v>
      </c>
      <c r="V300" s="892">
        <v>0</v>
      </c>
      <c r="W300" s="892">
        <v>0</v>
      </c>
      <c r="X300" s="901" t="s">
        <v>2243</v>
      </c>
    </row>
    <row r="301" spans="1:24" s="853" customFormat="1" ht="31.5">
      <c r="A301" s="899" t="s">
        <v>2469</v>
      </c>
      <c r="B301" s="902" t="s">
        <v>2159</v>
      </c>
      <c r="C301" s="892">
        <v>180</v>
      </c>
      <c r="D301" s="892">
        <v>0</v>
      </c>
      <c r="E301" s="892">
        <v>0</v>
      </c>
      <c r="F301" s="892">
        <v>180</v>
      </c>
      <c r="G301" s="892">
        <v>180</v>
      </c>
      <c r="H301" s="892">
        <v>0</v>
      </c>
      <c r="I301" s="892">
        <v>0</v>
      </c>
      <c r="J301" s="892">
        <v>0</v>
      </c>
      <c r="K301" s="892">
        <v>0</v>
      </c>
      <c r="L301" s="892">
        <v>0</v>
      </c>
      <c r="M301" s="892">
        <v>0</v>
      </c>
      <c r="N301" s="892">
        <v>0</v>
      </c>
      <c r="O301" s="892">
        <v>0</v>
      </c>
      <c r="P301" s="892">
        <v>0</v>
      </c>
      <c r="Q301" s="892">
        <v>180</v>
      </c>
      <c r="R301" s="892">
        <v>0</v>
      </c>
      <c r="S301" s="892">
        <v>0</v>
      </c>
      <c r="T301" s="892">
        <v>180</v>
      </c>
      <c r="U301" s="892">
        <v>0</v>
      </c>
      <c r="V301" s="892">
        <v>0</v>
      </c>
      <c r="W301" s="892">
        <v>0</v>
      </c>
      <c r="X301" s="901" t="s">
        <v>2243</v>
      </c>
    </row>
    <row r="302" spans="1:24" s="853" customFormat="1" ht="31.5">
      <c r="A302" s="899" t="s">
        <v>2469</v>
      </c>
      <c r="B302" s="902" t="s">
        <v>2160</v>
      </c>
      <c r="C302" s="892">
        <v>220</v>
      </c>
      <c r="D302" s="892">
        <v>0</v>
      </c>
      <c r="E302" s="892">
        <v>0</v>
      </c>
      <c r="F302" s="892">
        <v>220</v>
      </c>
      <c r="G302" s="892">
        <v>220</v>
      </c>
      <c r="H302" s="892">
        <v>0</v>
      </c>
      <c r="I302" s="892">
        <v>0</v>
      </c>
      <c r="J302" s="892">
        <v>0</v>
      </c>
      <c r="K302" s="892">
        <v>0</v>
      </c>
      <c r="L302" s="892">
        <v>0</v>
      </c>
      <c r="M302" s="892">
        <v>0</v>
      </c>
      <c r="N302" s="892">
        <v>0</v>
      </c>
      <c r="O302" s="892">
        <v>0</v>
      </c>
      <c r="P302" s="892">
        <v>0</v>
      </c>
      <c r="Q302" s="892">
        <v>220</v>
      </c>
      <c r="R302" s="892">
        <v>0</v>
      </c>
      <c r="S302" s="892">
        <v>0</v>
      </c>
      <c r="T302" s="892">
        <v>220</v>
      </c>
      <c r="U302" s="892">
        <v>0</v>
      </c>
      <c r="V302" s="892">
        <v>0</v>
      </c>
      <c r="W302" s="892">
        <v>0</v>
      </c>
      <c r="X302" s="901" t="s">
        <v>2243</v>
      </c>
    </row>
    <row r="303" spans="1:24" s="853" customFormat="1" ht="31.5">
      <c r="A303" s="899" t="s">
        <v>2469</v>
      </c>
      <c r="B303" s="902" t="s">
        <v>2161</v>
      </c>
      <c r="C303" s="892">
        <v>150</v>
      </c>
      <c r="D303" s="892">
        <v>0</v>
      </c>
      <c r="E303" s="892">
        <v>0</v>
      </c>
      <c r="F303" s="892">
        <v>150</v>
      </c>
      <c r="G303" s="892">
        <v>150</v>
      </c>
      <c r="H303" s="892">
        <v>0</v>
      </c>
      <c r="I303" s="892">
        <v>0</v>
      </c>
      <c r="J303" s="892">
        <v>0</v>
      </c>
      <c r="K303" s="892">
        <v>0</v>
      </c>
      <c r="L303" s="892">
        <v>0</v>
      </c>
      <c r="M303" s="892">
        <v>0</v>
      </c>
      <c r="N303" s="892">
        <v>0</v>
      </c>
      <c r="O303" s="892">
        <v>0</v>
      </c>
      <c r="P303" s="892">
        <v>0</v>
      </c>
      <c r="Q303" s="892">
        <v>150</v>
      </c>
      <c r="R303" s="892">
        <v>0</v>
      </c>
      <c r="S303" s="892">
        <v>0</v>
      </c>
      <c r="T303" s="892">
        <v>150</v>
      </c>
      <c r="U303" s="892">
        <v>0</v>
      </c>
      <c r="V303" s="892">
        <v>0</v>
      </c>
      <c r="W303" s="892">
        <v>0</v>
      </c>
      <c r="X303" s="901" t="s">
        <v>2243</v>
      </c>
    </row>
    <row r="304" spans="1:24" s="853" customFormat="1" ht="31.5">
      <c r="A304" s="899" t="s">
        <v>2469</v>
      </c>
      <c r="B304" s="902" t="s">
        <v>2162</v>
      </c>
      <c r="C304" s="892">
        <v>150</v>
      </c>
      <c r="D304" s="892">
        <v>0</v>
      </c>
      <c r="E304" s="892">
        <v>0</v>
      </c>
      <c r="F304" s="892">
        <v>150</v>
      </c>
      <c r="G304" s="892">
        <v>150</v>
      </c>
      <c r="H304" s="892">
        <v>0</v>
      </c>
      <c r="I304" s="892">
        <v>0</v>
      </c>
      <c r="J304" s="892">
        <v>0</v>
      </c>
      <c r="K304" s="892">
        <v>0</v>
      </c>
      <c r="L304" s="892">
        <v>0</v>
      </c>
      <c r="M304" s="892">
        <v>0</v>
      </c>
      <c r="N304" s="892">
        <v>0</v>
      </c>
      <c r="O304" s="892">
        <v>0</v>
      </c>
      <c r="P304" s="892">
        <v>0</v>
      </c>
      <c r="Q304" s="892">
        <v>150</v>
      </c>
      <c r="R304" s="892">
        <v>0</v>
      </c>
      <c r="S304" s="892">
        <v>0</v>
      </c>
      <c r="T304" s="892">
        <v>150</v>
      </c>
      <c r="U304" s="892">
        <v>0</v>
      </c>
      <c r="V304" s="892">
        <v>0</v>
      </c>
      <c r="W304" s="892">
        <v>0</v>
      </c>
      <c r="X304" s="901" t="s">
        <v>2243</v>
      </c>
    </row>
    <row r="305" spans="1:24" s="853" customFormat="1">
      <c r="A305" s="899" t="s">
        <v>2469</v>
      </c>
      <c r="B305" s="902" t="s">
        <v>2163</v>
      </c>
      <c r="C305" s="892">
        <v>40</v>
      </c>
      <c r="D305" s="892">
        <v>0</v>
      </c>
      <c r="E305" s="892">
        <v>0</v>
      </c>
      <c r="F305" s="892">
        <v>40</v>
      </c>
      <c r="G305" s="892">
        <v>40</v>
      </c>
      <c r="H305" s="892">
        <v>0</v>
      </c>
      <c r="I305" s="892">
        <v>0</v>
      </c>
      <c r="J305" s="892">
        <v>0</v>
      </c>
      <c r="K305" s="892">
        <v>0</v>
      </c>
      <c r="L305" s="892">
        <v>0</v>
      </c>
      <c r="M305" s="892">
        <v>0</v>
      </c>
      <c r="N305" s="892">
        <v>0</v>
      </c>
      <c r="O305" s="892">
        <v>0</v>
      </c>
      <c r="P305" s="892">
        <v>0</v>
      </c>
      <c r="Q305" s="892">
        <v>40</v>
      </c>
      <c r="R305" s="892">
        <v>0</v>
      </c>
      <c r="S305" s="892">
        <v>0</v>
      </c>
      <c r="T305" s="892">
        <v>40</v>
      </c>
      <c r="U305" s="892">
        <v>0</v>
      </c>
      <c r="V305" s="892">
        <v>0</v>
      </c>
      <c r="W305" s="892">
        <v>0</v>
      </c>
      <c r="X305" s="901" t="s">
        <v>2243</v>
      </c>
    </row>
    <row r="306" spans="1:24" s="853" customFormat="1" ht="31.5">
      <c r="A306" s="899" t="s">
        <v>2469</v>
      </c>
      <c r="B306" s="902" t="s">
        <v>2164</v>
      </c>
      <c r="C306" s="892">
        <v>180</v>
      </c>
      <c r="D306" s="892">
        <v>0</v>
      </c>
      <c r="E306" s="892">
        <v>0</v>
      </c>
      <c r="F306" s="892">
        <v>180</v>
      </c>
      <c r="G306" s="892">
        <v>180</v>
      </c>
      <c r="H306" s="892">
        <v>0</v>
      </c>
      <c r="I306" s="892">
        <v>0</v>
      </c>
      <c r="J306" s="892">
        <v>0</v>
      </c>
      <c r="K306" s="892">
        <v>0</v>
      </c>
      <c r="L306" s="892">
        <v>0</v>
      </c>
      <c r="M306" s="892">
        <v>0</v>
      </c>
      <c r="N306" s="892">
        <v>0</v>
      </c>
      <c r="O306" s="892">
        <v>0</v>
      </c>
      <c r="P306" s="892">
        <v>0</v>
      </c>
      <c r="Q306" s="892">
        <v>180</v>
      </c>
      <c r="R306" s="892">
        <v>0</v>
      </c>
      <c r="S306" s="892">
        <v>0</v>
      </c>
      <c r="T306" s="892">
        <v>180</v>
      </c>
      <c r="U306" s="892">
        <v>0</v>
      </c>
      <c r="V306" s="892">
        <v>0</v>
      </c>
      <c r="W306" s="892">
        <v>0</v>
      </c>
      <c r="X306" s="901" t="s">
        <v>2243</v>
      </c>
    </row>
    <row r="307" spans="1:24" s="853" customFormat="1" ht="31.5">
      <c r="A307" s="899" t="s">
        <v>2469</v>
      </c>
      <c r="B307" s="902" t="s">
        <v>2166</v>
      </c>
      <c r="C307" s="892">
        <v>180</v>
      </c>
      <c r="D307" s="892">
        <v>0</v>
      </c>
      <c r="E307" s="892">
        <v>0</v>
      </c>
      <c r="F307" s="892">
        <v>180</v>
      </c>
      <c r="G307" s="892">
        <v>180</v>
      </c>
      <c r="H307" s="892">
        <v>0</v>
      </c>
      <c r="I307" s="892">
        <v>0</v>
      </c>
      <c r="J307" s="892">
        <v>0</v>
      </c>
      <c r="K307" s="892">
        <v>0</v>
      </c>
      <c r="L307" s="892">
        <v>0</v>
      </c>
      <c r="M307" s="892">
        <v>0</v>
      </c>
      <c r="N307" s="892">
        <v>0</v>
      </c>
      <c r="O307" s="892">
        <v>0</v>
      </c>
      <c r="P307" s="892">
        <v>0</v>
      </c>
      <c r="Q307" s="892">
        <v>180</v>
      </c>
      <c r="R307" s="892">
        <v>0</v>
      </c>
      <c r="S307" s="892">
        <v>0</v>
      </c>
      <c r="T307" s="892">
        <v>180</v>
      </c>
      <c r="U307" s="892">
        <v>0</v>
      </c>
      <c r="V307" s="892">
        <v>0</v>
      </c>
      <c r="W307" s="892">
        <v>0</v>
      </c>
      <c r="X307" s="901" t="s">
        <v>2243</v>
      </c>
    </row>
    <row r="308" spans="1:24" s="853" customFormat="1" ht="31.5">
      <c r="A308" s="899" t="s">
        <v>2469</v>
      </c>
      <c r="B308" s="902" t="s">
        <v>2167</v>
      </c>
      <c r="C308" s="892">
        <v>180</v>
      </c>
      <c r="D308" s="892">
        <v>0</v>
      </c>
      <c r="E308" s="892">
        <v>0</v>
      </c>
      <c r="F308" s="892">
        <v>180</v>
      </c>
      <c r="G308" s="892">
        <v>180</v>
      </c>
      <c r="H308" s="892">
        <v>0</v>
      </c>
      <c r="I308" s="892">
        <v>0</v>
      </c>
      <c r="J308" s="892">
        <v>0</v>
      </c>
      <c r="K308" s="892">
        <v>0</v>
      </c>
      <c r="L308" s="892">
        <v>0</v>
      </c>
      <c r="M308" s="892">
        <v>0</v>
      </c>
      <c r="N308" s="892">
        <v>0</v>
      </c>
      <c r="O308" s="892">
        <v>0</v>
      </c>
      <c r="P308" s="892">
        <v>0</v>
      </c>
      <c r="Q308" s="892">
        <v>180</v>
      </c>
      <c r="R308" s="892">
        <v>0</v>
      </c>
      <c r="S308" s="892">
        <v>0</v>
      </c>
      <c r="T308" s="892">
        <v>180</v>
      </c>
      <c r="U308" s="892">
        <v>0</v>
      </c>
      <c r="V308" s="892">
        <v>0</v>
      </c>
      <c r="W308" s="892">
        <v>0</v>
      </c>
      <c r="X308" s="901" t="s">
        <v>2243</v>
      </c>
    </row>
    <row r="309" spans="1:24" s="853" customFormat="1">
      <c r="A309" s="880"/>
      <c r="B309" s="902"/>
      <c r="C309" s="880"/>
      <c r="D309" s="880"/>
      <c r="E309" s="880"/>
      <c r="F309" s="880"/>
      <c r="G309" s="883"/>
      <c r="H309" s="883"/>
      <c r="I309" s="880"/>
      <c r="J309" s="880"/>
      <c r="K309" s="880"/>
      <c r="L309" s="880"/>
      <c r="M309" s="880"/>
      <c r="N309" s="880"/>
      <c r="O309" s="880"/>
      <c r="P309" s="880"/>
      <c r="Q309" s="880"/>
      <c r="R309" s="880"/>
      <c r="S309" s="880"/>
      <c r="T309" s="880"/>
      <c r="U309" s="880"/>
      <c r="V309" s="880"/>
      <c r="W309" s="880"/>
      <c r="X309" s="880"/>
    </row>
    <row r="310" spans="1:24" s="354" customFormat="1">
      <c r="A310" s="865" t="s">
        <v>2469</v>
      </c>
      <c r="B310" s="868" t="s">
        <v>1140</v>
      </c>
      <c r="C310" s="895">
        <v>100263.815875</v>
      </c>
      <c r="D310" s="895">
        <v>16869.721874999999</v>
      </c>
      <c r="E310" s="895">
        <v>1790</v>
      </c>
      <c r="F310" s="895">
        <v>81604.093999999997</v>
      </c>
      <c r="G310" s="895">
        <v>69296.467027000006</v>
      </c>
      <c r="H310" s="895">
        <v>10910.883255000001</v>
      </c>
      <c r="I310" s="895">
        <v>0</v>
      </c>
      <c r="J310" s="895">
        <v>0</v>
      </c>
      <c r="K310" s="895">
        <v>630</v>
      </c>
      <c r="L310" s="895">
        <v>3068.531336</v>
      </c>
      <c r="M310" s="895">
        <v>15625.9395</v>
      </c>
      <c r="N310" s="895">
        <v>2633.6678400000001</v>
      </c>
      <c r="O310" s="895">
        <v>0</v>
      </c>
      <c r="P310" s="895">
        <v>749.19844699999999</v>
      </c>
      <c r="Q310" s="895">
        <v>28787.218486999998</v>
      </c>
      <c r="R310" s="895">
        <v>0</v>
      </c>
      <c r="S310" s="895">
        <v>24704.98774</v>
      </c>
      <c r="T310" s="895">
        <v>4082.2307470000001</v>
      </c>
      <c r="U310" s="895">
        <v>2594.3679299999999</v>
      </c>
      <c r="V310" s="895">
        <v>4296.6602320000002</v>
      </c>
      <c r="W310" s="895">
        <v>0</v>
      </c>
      <c r="X310" s="867" t="s">
        <v>2632</v>
      </c>
    </row>
    <row r="311" spans="1:24" s="853" customFormat="1">
      <c r="A311" s="899" t="s">
        <v>1883</v>
      </c>
      <c r="B311" s="900" t="s">
        <v>2475</v>
      </c>
      <c r="C311" s="892">
        <v>385.5</v>
      </c>
      <c r="D311" s="892">
        <v>305.5</v>
      </c>
      <c r="E311" s="892">
        <v>0</v>
      </c>
      <c r="F311" s="892">
        <v>80</v>
      </c>
      <c r="G311" s="892">
        <v>383.13717500000001</v>
      </c>
      <c r="H311" s="892">
        <v>0</v>
      </c>
      <c r="I311" s="892">
        <v>0</v>
      </c>
      <c r="J311" s="892">
        <v>0</v>
      </c>
      <c r="K311" s="892">
        <v>0</v>
      </c>
      <c r="L311" s="892">
        <v>0</v>
      </c>
      <c r="M311" s="892">
        <v>0</v>
      </c>
      <c r="N311" s="892">
        <v>0</v>
      </c>
      <c r="O311" s="892">
        <v>0</v>
      </c>
      <c r="P311" s="892">
        <v>0</v>
      </c>
      <c r="Q311" s="892">
        <v>303.13717500000001</v>
      </c>
      <c r="R311" s="892">
        <v>0</v>
      </c>
      <c r="S311" s="892">
        <v>0</v>
      </c>
      <c r="T311" s="892">
        <v>303.13717500000001</v>
      </c>
      <c r="U311" s="892">
        <v>80</v>
      </c>
      <c r="V311" s="892">
        <v>0</v>
      </c>
      <c r="W311" s="892">
        <v>0</v>
      </c>
      <c r="X311" s="901" t="s">
        <v>2486</v>
      </c>
    </row>
    <row r="312" spans="1:24" s="853" customFormat="1" ht="31.5">
      <c r="A312" s="899" t="s">
        <v>2469</v>
      </c>
      <c r="B312" s="902" t="s">
        <v>1989</v>
      </c>
      <c r="C312" s="892">
        <v>80</v>
      </c>
      <c r="D312" s="892">
        <v>0</v>
      </c>
      <c r="E312" s="892">
        <v>0</v>
      </c>
      <c r="F312" s="892">
        <v>80</v>
      </c>
      <c r="G312" s="892">
        <v>80</v>
      </c>
      <c r="H312" s="892">
        <v>0</v>
      </c>
      <c r="I312" s="892">
        <v>0</v>
      </c>
      <c r="J312" s="892">
        <v>0</v>
      </c>
      <c r="K312" s="892">
        <v>0</v>
      </c>
      <c r="L312" s="892">
        <v>0</v>
      </c>
      <c r="M312" s="892">
        <v>0</v>
      </c>
      <c r="N312" s="892">
        <v>0</v>
      </c>
      <c r="O312" s="892">
        <v>0</v>
      </c>
      <c r="P312" s="892">
        <v>0</v>
      </c>
      <c r="Q312" s="892">
        <v>0</v>
      </c>
      <c r="R312" s="892">
        <v>0</v>
      </c>
      <c r="S312" s="892">
        <v>0</v>
      </c>
      <c r="T312" s="892">
        <v>0</v>
      </c>
      <c r="U312" s="892">
        <v>80</v>
      </c>
      <c r="V312" s="892">
        <v>0</v>
      </c>
      <c r="W312" s="892">
        <v>0</v>
      </c>
      <c r="X312" s="901" t="s">
        <v>2243</v>
      </c>
    </row>
    <row r="313" spans="1:24" s="853" customFormat="1" ht="31.5">
      <c r="A313" s="899" t="s">
        <v>2469</v>
      </c>
      <c r="B313" s="902" t="s">
        <v>1991</v>
      </c>
      <c r="C313" s="892">
        <v>305.5</v>
      </c>
      <c r="D313" s="892">
        <v>305.5</v>
      </c>
      <c r="E313" s="892">
        <v>0</v>
      </c>
      <c r="F313" s="892">
        <v>0</v>
      </c>
      <c r="G313" s="892">
        <v>303.13717500000001</v>
      </c>
      <c r="H313" s="892">
        <v>0</v>
      </c>
      <c r="I313" s="892">
        <v>0</v>
      </c>
      <c r="J313" s="892">
        <v>0</v>
      </c>
      <c r="K313" s="892">
        <v>0</v>
      </c>
      <c r="L313" s="892">
        <v>0</v>
      </c>
      <c r="M313" s="892">
        <v>0</v>
      </c>
      <c r="N313" s="892">
        <v>0</v>
      </c>
      <c r="O313" s="892">
        <v>0</v>
      </c>
      <c r="P313" s="892">
        <v>0</v>
      </c>
      <c r="Q313" s="892">
        <v>303.13717500000001</v>
      </c>
      <c r="R313" s="892">
        <v>0</v>
      </c>
      <c r="S313" s="892">
        <v>0</v>
      </c>
      <c r="T313" s="892">
        <v>303.13717500000001</v>
      </c>
      <c r="U313" s="892">
        <v>0</v>
      </c>
      <c r="V313" s="892">
        <v>0</v>
      </c>
      <c r="W313" s="892">
        <v>0</v>
      </c>
      <c r="X313" s="901" t="s">
        <v>2633</v>
      </c>
    </row>
    <row r="314" spans="1:24" s="853" customFormat="1">
      <c r="A314" s="899" t="s">
        <v>1884</v>
      </c>
      <c r="B314" s="900" t="s">
        <v>2245</v>
      </c>
      <c r="C314" s="892">
        <v>37062.456465000003</v>
      </c>
      <c r="D314" s="892">
        <v>2291.4564650000002</v>
      </c>
      <c r="E314" s="892">
        <v>0</v>
      </c>
      <c r="F314" s="892">
        <v>34771</v>
      </c>
      <c r="G314" s="892">
        <v>26466.689387999999</v>
      </c>
      <c r="H314" s="892">
        <v>514.97349999999994</v>
      </c>
      <c r="I314" s="892">
        <v>0</v>
      </c>
      <c r="J314" s="892">
        <v>0</v>
      </c>
      <c r="K314" s="892">
        <v>0</v>
      </c>
      <c r="L314" s="892">
        <v>0</v>
      </c>
      <c r="M314" s="892">
        <v>0</v>
      </c>
      <c r="N314" s="892">
        <v>0</v>
      </c>
      <c r="O314" s="892">
        <v>0</v>
      </c>
      <c r="P314" s="892">
        <v>0</v>
      </c>
      <c r="Q314" s="892">
        <v>24256.933958000001</v>
      </c>
      <c r="R314" s="892">
        <v>0</v>
      </c>
      <c r="S314" s="892">
        <v>24004.98774</v>
      </c>
      <c r="T314" s="892">
        <v>251.94621799999999</v>
      </c>
      <c r="U314" s="892">
        <v>1694.7819300000001</v>
      </c>
      <c r="V314" s="892">
        <v>0</v>
      </c>
      <c r="W314" s="892">
        <v>0</v>
      </c>
      <c r="X314" s="901" t="s">
        <v>2634</v>
      </c>
    </row>
    <row r="315" spans="1:24" s="853" customFormat="1" ht="31.5">
      <c r="A315" s="899" t="s">
        <v>2469</v>
      </c>
      <c r="B315" s="902" t="s">
        <v>1994</v>
      </c>
      <c r="C315" s="892">
        <v>1210</v>
      </c>
      <c r="D315" s="892">
        <v>0</v>
      </c>
      <c r="E315" s="892">
        <v>0</v>
      </c>
      <c r="F315" s="892">
        <v>1210</v>
      </c>
      <c r="G315" s="892">
        <v>5.4</v>
      </c>
      <c r="H315" s="892">
        <v>0</v>
      </c>
      <c r="I315" s="892">
        <v>0</v>
      </c>
      <c r="J315" s="892">
        <v>0</v>
      </c>
      <c r="K315" s="892">
        <v>0</v>
      </c>
      <c r="L315" s="892">
        <v>0</v>
      </c>
      <c r="M315" s="892">
        <v>0</v>
      </c>
      <c r="N315" s="892">
        <v>0</v>
      </c>
      <c r="O315" s="892">
        <v>0</v>
      </c>
      <c r="P315" s="892">
        <v>0</v>
      </c>
      <c r="Q315" s="892">
        <v>5.4</v>
      </c>
      <c r="R315" s="892">
        <v>0</v>
      </c>
      <c r="S315" s="892">
        <v>0</v>
      </c>
      <c r="T315" s="892">
        <v>5.4</v>
      </c>
      <c r="U315" s="892">
        <v>0</v>
      </c>
      <c r="V315" s="892">
        <v>0</v>
      </c>
      <c r="W315" s="892">
        <v>0</v>
      </c>
      <c r="X315" s="901" t="s">
        <v>2635</v>
      </c>
    </row>
    <row r="316" spans="1:24" s="853" customFormat="1" ht="31.5">
      <c r="A316" s="899" t="s">
        <v>2469</v>
      </c>
      <c r="B316" s="902" t="s">
        <v>1996</v>
      </c>
      <c r="C316" s="892">
        <v>350</v>
      </c>
      <c r="D316" s="892">
        <v>0</v>
      </c>
      <c r="E316" s="892">
        <v>0</v>
      </c>
      <c r="F316" s="892">
        <v>350</v>
      </c>
      <c r="G316" s="892">
        <v>347.42863999999997</v>
      </c>
      <c r="H316" s="892">
        <v>0</v>
      </c>
      <c r="I316" s="892">
        <v>0</v>
      </c>
      <c r="J316" s="892">
        <v>0</v>
      </c>
      <c r="K316" s="892">
        <v>0</v>
      </c>
      <c r="L316" s="892">
        <v>0</v>
      </c>
      <c r="M316" s="892">
        <v>0</v>
      </c>
      <c r="N316" s="892">
        <v>0</v>
      </c>
      <c r="O316" s="892">
        <v>0</v>
      </c>
      <c r="P316" s="892">
        <v>0</v>
      </c>
      <c r="Q316" s="892">
        <v>0</v>
      </c>
      <c r="R316" s="892">
        <v>0</v>
      </c>
      <c r="S316" s="892">
        <v>0</v>
      </c>
      <c r="T316" s="892">
        <v>0</v>
      </c>
      <c r="U316" s="892">
        <v>347.42863999999997</v>
      </c>
      <c r="V316" s="892">
        <v>0</v>
      </c>
      <c r="W316" s="892">
        <v>0</v>
      </c>
      <c r="X316" s="901" t="s">
        <v>2636</v>
      </c>
    </row>
    <row r="317" spans="1:24" s="853" customFormat="1" ht="31.5">
      <c r="A317" s="899" t="s">
        <v>2469</v>
      </c>
      <c r="B317" s="902" t="s">
        <v>1993</v>
      </c>
      <c r="C317" s="892">
        <v>8636</v>
      </c>
      <c r="D317" s="892">
        <v>1848</v>
      </c>
      <c r="E317" s="892">
        <v>0</v>
      </c>
      <c r="F317" s="892">
        <v>6788</v>
      </c>
      <c r="G317" s="892">
        <v>150.493818</v>
      </c>
      <c r="H317" s="892">
        <v>0</v>
      </c>
      <c r="I317" s="892">
        <v>0</v>
      </c>
      <c r="J317" s="892">
        <v>0</v>
      </c>
      <c r="K317" s="892">
        <v>0</v>
      </c>
      <c r="L317" s="892">
        <v>0</v>
      </c>
      <c r="M317" s="892">
        <v>0</v>
      </c>
      <c r="N317" s="892">
        <v>0</v>
      </c>
      <c r="O317" s="892">
        <v>0</v>
      </c>
      <c r="P317" s="892">
        <v>0</v>
      </c>
      <c r="Q317" s="892">
        <v>91.241817999999995</v>
      </c>
      <c r="R317" s="892">
        <v>0</v>
      </c>
      <c r="S317" s="892">
        <v>0</v>
      </c>
      <c r="T317" s="892">
        <v>91.241817999999995</v>
      </c>
      <c r="U317" s="892">
        <v>59.252000000000002</v>
      </c>
      <c r="V317" s="892">
        <v>0</v>
      </c>
      <c r="W317" s="892">
        <v>0</v>
      </c>
      <c r="X317" s="901" t="s">
        <v>2629</v>
      </c>
    </row>
    <row r="318" spans="1:24" s="853" customFormat="1" ht="31.5">
      <c r="A318" s="899" t="s">
        <v>2469</v>
      </c>
      <c r="B318" s="902" t="s">
        <v>1997</v>
      </c>
      <c r="C318" s="892">
        <v>6703</v>
      </c>
      <c r="D318" s="892">
        <v>0</v>
      </c>
      <c r="E318" s="892">
        <v>0</v>
      </c>
      <c r="F318" s="892">
        <v>6703</v>
      </c>
      <c r="G318" s="892">
        <v>6003.05</v>
      </c>
      <c r="H318" s="892">
        <v>0</v>
      </c>
      <c r="I318" s="892">
        <v>0</v>
      </c>
      <c r="J318" s="892">
        <v>0</v>
      </c>
      <c r="K318" s="892">
        <v>0</v>
      </c>
      <c r="L318" s="892">
        <v>0</v>
      </c>
      <c r="M318" s="892">
        <v>0</v>
      </c>
      <c r="N318" s="892">
        <v>0</v>
      </c>
      <c r="O318" s="892">
        <v>0</v>
      </c>
      <c r="P318" s="892">
        <v>0</v>
      </c>
      <c r="Q318" s="892">
        <v>6003.05</v>
      </c>
      <c r="R318" s="892">
        <v>0</v>
      </c>
      <c r="S318" s="892">
        <v>6003.05</v>
      </c>
      <c r="T318" s="892">
        <v>0</v>
      </c>
      <c r="U318" s="892">
        <v>0</v>
      </c>
      <c r="V318" s="892">
        <v>0</v>
      </c>
      <c r="W318" s="892">
        <v>0</v>
      </c>
      <c r="X318" s="901" t="s">
        <v>2637</v>
      </c>
    </row>
    <row r="319" spans="1:24" s="853" customFormat="1" ht="31.5">
      <c r="A319" s="899" t="s">
        <v>2469</v>
      </c>
      <c r="B319" s="902" t="s">
        <v>1999</v>
      </c>
      <c r="C319" s="892">
        <v>7491</v>
      </c>
      <c r="D319" s="892">
        <v>0</v>
      </c>
      <c r="E319" s="892">
        <v>0</v>
      </c>
      <c r="F319" s="892">
        <v>7491</v>
      </c>
      <c r="G319" s="892">
        <v>7491</v>
      </c>
      <c r="H319" s="892">
        <v>0</v>
      </c>
      <c r="I319" s="892">
        <v>0</v>
      </c>
      <c r="J319" s="892">
        <v>0</v>
      </c>
      <c r="K319" s="892">
        <v>0</v>
      </c>
      <c r="L319" s="892">
        <v>0</v>
      </c>
      <c r="M319" s="892">
        <v>0</v>
      </c>
      <c r="N319" s="892">
        <v>0</v>
      </c>
      <c r="O319" s="892">
        <v>0</v>
      </c>
      <c r="P319" s="892">
        <v>0</v>
      </c>
      <c r="Q319" s="892">
        <v>7491</v>
      </c>
      <c r="R319" s="892">
        <v>0</v>
      </c>
      <c r="S319" s="892">
        <v>7491</v>
      </c>
      <c r="T319" s="892">
        <v>0</v>
      </c>
      <c r="U319" s="892">
        <v>0</v>
      </c>
      <c r="V319" s="892">
        <v>0</v>
      </c>
      <c r="W319" s="892">
        <v>0</v>
      </c>
      <c r="X319" s="901" t="s">
        <v>2243</v>
      </c>
    </row>
    <row r="320" spans="1:24" s="853" customFormat="1" ht="31.5">
      <c r="A320" s="899" t="s">
        <v>2469</v>
      </c>
      <c r="B320" s="902" t="s">
        <v>2009</v>
      </c>
      <c r="C320" s="892">
        <v>1511.2818</v>
      </c>
      <c r="D320" s="892">
        <v>186.2818</v>
      </c>
      <c r="E320" s="892">
        <v>0</v>
      </c>
      <c r="F320" s="892">
        <v>1325</v>
      </c>
      <c r="G320" s="892">
        <v>1327.94614</v>
      </c>
      <c r="H320" s="892">
        <v>280.70400000000001</v>
      </c>
      <c r="I320" s="892">
        <v>0</v>
      </c>
      <c r="J320" s="892">
        <v>0</v>
      </c>
      <c r="K320" s="892">
        <v>0</v>
      </c>
      <c r="L320" s="892">
        <v>0</v>
      </c>
      <c r="M320" s="892">
        <v>0</v>
      </c>
      <c r="N320" s="892">
        <v>0</v>
      </c>
      <c r="O320" s="892">
        <v>0</v>
      </c>
      <c r="P320" s="892">
        <v>0</v>
      </c>
      <c r="Q320" s="892">
        <v>1047.2421400000001</v>
      </c>
      <c r="R320" s="892">
        <v>0</v>
      </c>
      <c r="S320" s="892">
        <v>891.93773999999996</v>
      </c>
      <c r="T320" s="892">
        <v>155.30439999999999</v>
      </c>
      <c r="U320" s="892">
        <v>0</v>
      </c>
      <c r="V320" s="892">
        <v>0</v>
      </c>
      <c r="W320" s="892">
        <v>0</v>
      </c>
      <c r="X320" s="901" t="s">
        <v>2638</v>
      </c>
    </row>
    <row r="321" spans="1:24" s="853" customFormat="1">
      <c r="A321" s="899" t="s">
        <v>2469</v>
      </c>
      <c r="B321" s="902" t="s">
        <v>2477</v>
      </c>
      <c r="C321" s="892">
        <v>2326</v>
      </c>
      <c r="D321" s="892">
        <v>0</v>
      </c>
      <c r="E321" s="892">
        <v>0</v>
      </c>
      <c r="F321" s="892">
        <v>2326</v>
      </c>
      <c r="G321" s="892">
        <v>2316</v>
      </c>
      <c r="H321" s="892">
        <v>0</v>
      </c>
      <c r="I321" s="892">
        <v>0</v>
      </c>
      <c r="J321" s="892">
        <v>0</v>
      </c>
      <c r="K321" s="892">
        <v>0</v>
      </c>
      <c r="L321" s="892">
        <v>0</v>
      </c>
      <c r="M321" s="892">
        <v>0</v>
      </c>
      <c r="N321" s="892">
        <v>0</v>
      </c>
      <c r="O321" s="892">
        <v>0</v>
      </c>
      <c r="P321" s="892">
        <v>0</v>
      </c>
      <c r="Q321" s="892">
        <v>2316</v>
      </c>
      <c r="R321" s="892">
        <v>0</v>
      </c>
      <c r="S321" s="892">
        <v>2316</v>
      </c>
      <c r="T321" s="892">
        <v>0</v>
      </c>
      <c r="U321" s="892">
        <v>0</v>
      </c>
      <c r="V321" s="892">
        <v>0</v>
      </c>
      <c r="W321" s="892">
        <v>0</v>
      </c>
      <c r="X321" s="901" t="s">
        <v>2478</v>
      </c>
    </row>
    <row r="322" spans="1:24" s="853" customFormat="1" ht="31.5">
      <c r="A322" s="899" t="s">
        <v>2469</v>
      </c>
      <c r="B322" s="902" t="s">
        <v>2012</v>
      </c>
      <c r="C322" s="892">
        <v>3442.1869999999999</v>
      </c>
      <c r="D322" s="892">
        <v>3.1869999999999998</v>
      </c>
      <c r="E322" s="892">
        <v>0</v>
      </c>
      <c r="F322" s="892">
        <v>3439</v>
      </c>
      <c r="G322" s="892">
        <v>3439</v>
      </c>
      <c r="H322" s="892">
        <v>0</v>
      </c>
      <c r="I322" s="892">
        <v>0</v>
      </c>
      <c r="J322" s="892">
        <v>0</v>
      </c>
      <c r="K322" s="892">
        <v>0</v>
      </c>
      <c r="L322" s="892">
        <v>0</v>
      </c>
      <c r="M322" s="892">
        <v>0</v>
      </c>
      <c r="N322" s="892">
        <v>0</v>
      </c>
      <c r="O322" s="892">
        <v>0</v>
      </c>
      <c r="P322" s="892">
        <v>0</v>
      </c>
      <c r="Q322" s="892">
        <v>3439</v>
      </c>
      <c r="R322" s="892">
        <v>0</v>
      </c>
      <c r="S322" s="892">
        <v>3439</v>
      </c>
      <c r="T322" s="892">
        <v>0</v>
      </c>
      <c r="U322" s="892">
        <v>0</v>
      </c>
      <c r="V322" s="892">
        <v>0</v>
      </c>
      <c r="W322" s="892">
        <v>0</v>
      </c>
      <c r="X322" s="901" t="s">
        <v>2246</v>
      </c>
    </row>
    <row r="323" spans="1:24" s="853" customFormat="1" ht="31.5">
      <c r="A323" s="899" t="s">
        <v>2469</v>
      </c>
      <c r="B323" s="902" t="s">
        <v>2015</v>
      </c>
      <c r="C323" s="892">
        <v>126</v>
      </c>
      <c r="D323" s="892">
        <v>0</v>
      </c>
      <c r="E323" s="892">
        <v>0</v>
      </c>
      <c r="F323" s="892">
        <v>126</v>
      </c>
      <c r="G323" s="892">
        <v>126</v>
      </c>
      <c r="H323" s="892">
        <v>0</v>
      </c>
      <c r="I323" s="892">
        <v>0</v>
      </c>
      <c r="J323" s="892">
        <v>0</v>
      </c>
      <c r="K323" s="892">
        <v>0</v>
      </c>
      <c r="L323" s="892">
        <v>0</v>
      </c>
      <c r="M323" s="892">
        <v>0</v>
      </c>
      <c r="N323" s="892">
        <v>0</v>
      </c>
      <c r="O323" s="892">
        <v>0</v>
      </c>
      <c r="P323" s="892">
        <v>0</v>
      </c>
      <c r="Q323" s="892">
        <v>126</v>
      </c>
      <c r="R323" s="892">
        <v>0</v>
      </c>
      <c r="S323" s="892">
        <v>126</v>
      </c>
      <c r="T323" s="892">
        <v>0</v>
      </c>
      <c r="U323" s="892">
        <v>0</v>
      </c>
      <c r="V323" s="892">
        <v>0</v>
      </c>
      <c r="W323" s="892">
        <v>0</v>
      </c>
      <c r="X323" s="901" t="s">
        <v>2243</v>
      </c>
    </row>
    <row r="324" spans="1:24" s="853" customFormat="1" ht="31.5">
      <c r="A324" s="899" t="s">
        <v>2469</v>
      </c>
      <c r="B324" s="902" t="s">
        <v>2017</v>
      </c>
      <c r="C324" s="892">
        <v>3738</v>
      </c>
      <c r="D324" s="892">
        <v>0</v>
      </c>
      <c r="E324" s="892">
        <v>0</v>
      </c>
      <c r="F324" s="892">
        <v>3738</v>
      </c>
      <c r="G324" s="892">
        <v>3738</v>
      </c>
      <c r="H324" s="892">
        <v>0</v>
      </c>
      <c r="I324" s="892">
        <v>0</v>
      </c>
      <c r="J324" s="892">
        <v>0</v>
      </c>
      <c r="K324" s="892">
        <v>0</v>
      </c>
      <c r="L324" s="892">
        <v>0</v>
      </c>
      <c r="M324" s="892">
        <v>0</v>
      </c>
      <c r="N324" s="892">
        <v>0</v>
      </c>
      <c r="O324" s="892">
        <v>0</v>
      </c>
      <c r="P324" s="892">
        <v>0</v>
      </c>
      <c r="Q324" s="892">
        <v>3738</v>
      </c>
      <c r="R324" s="892">
        <v>0</v>
      </c>
      <c r="S324" s="892">
        <v>3738</v>
      </c>
      <c r="T324" s="892">
        <v>0</v>
      </c>
      <c r="U324" s="892">
        <v>0</v>
      </c>
      <c r="V324" s="892">
        <v>0</v>
      </c>
      <c r="W324" s="892">
        <v>0</v>
      </c>
      <c r="X324" s="901" t="s">
        <v>2243</v>
      </c>
    </row>
    <row r="325" spans="1:24" s="853" customFormat="1" ht="47.25">
      <c r="A325" s="899" t="s">
        <v>2469</v>
      </c>
      <c r="B325" s="902" t="s">
        <v>2018</v>
      </c>
      <c r="C325" s="892">
        <v>1528.9876650000001</v>
      </c>
      <c r="D325" s="892">
        <v>253.98766499999999</v>
      </c>
      <c r="E325" s="892">
        <v>0</v>
      </c>
      <c r="F325" s="892">
        <v>1275</v>
      </c>
      <c r="G325" s="892">
        <v>1522.3707899999999</v>
      </c>
      <c r="H325" s="892">
        <v>234.26949999999999</v>
      </c>
      <c r="I325" s="892">
        <v>0</v>
      </c>
      <c r="J325" s="892">
        <v>0</v>
      </c>
      <c r="K325" s="892">
        <v>0</v>
      </c>
      <c r="L325" s="892">
        <v>0</v>
      </c>
      <c r="M325" s="892">
        <v>0</v>
      </c>
      <c r="N325" s="892">
        <v>0</v>
      </c>
      <c r="O325" s="892">
        <v>0</v>
      </c>
      <c r="P325" s="892">
        <v>0</v>
      </c>
      <c r="Q325" s="892">
        <v>0</v>
      </c>
      <c r="R325" s="892">
        <v>0</v>
      </c>
      <c r="S325" s="892">
        <v>0</v>
      </c>
      <c r="T325" s="892">
        <v>0</v>
      </c>
      <c r="U325" s="892">
        <v>1288.1012900000001</v>
      </c>
      <c r="V325" s="892">
        <v>0</v>
      </c>
      <c r="W325" s="892">
        <v>0</v>
      </c>
      <c r="X325" s="901" t="s">
        <v>2478</v>
      </c>
    </row>
    <row r="326" spans="1:24" s="853" customFormat="1">
      <c r="A326" s="899" t="s">
        <v>1885</v>
      </c>
      <c r="B326" s="900" t="s">
        <v>461</v>
      </c>
      <c r="C326" s="892">
        <v>330</v>
      </c>
      <c r="D326" s="892">
        <v>0</v>
      </c>
      <c r="E326" s="892">
        <v>0</v>
      </c>
      <c r="F326" s="892">
        <v>330</v>
      </c>
      <c r="G326" s="892">
        <v>264.38</v>
      </c>
      <c r="H326" s="892">
        <v>120</v>
      </c>
      <c r="I326" s="892">
        <v>0</v>
      </c>
      <c r="J326" s="892">
        <v>0</v>
      </c>
      <c r="K326" s="892">
        <v>0</v>
      </c>
      <c r="L326" s="892">
        <v>0</v>
      </c>
      <c r="M326" s="892">
        <v>0</v>
      </c>
      <c r="N326" s="892">
        <v>0</v>
      </c>
      <c r="O326" s="892">
        <v>0</v>
      </c>
      <c r="P326" s="892">
        <v>0</v>
      </c>
      <c r="Q326" s="892">
        <v>110</v>
      </c>
      <c r="R326" s="892">
        <v>0</v>
      </c>
      <c r="S326" s="892">
        <v>0</v>
      </c>
      <c r="T326" s="892">
        <v>110</v>
      </c>
      <c r="U326" s="892">
        <v>34.380000000000003</v>
      </c>
      <c r="V326" s="892">
        <v>0</v>
      </c>
      <c r="W326" s="892">
        <v>0</v>
      </c>
      <c r="X326" s="901" t="s">
        <v>2639</v>
      </c>
    </row>
    <row r="327" spans="1:24" s="853" customFormat="1" ht="31.5">
      <c r="A327" s="899" t="s">
        <v>2469</v>
      </c>
      <c r="B327" s="902" t="s">
        <v>2021</v>
      </c>
      <c r="C327" s="892">
        <v>330</v>
      </c>
      <c r="D327" s="892">
        <v>0</v>
      </c>
      <c r="E327" s="892">
        <v>0</v>
      </c>
      <c r="F327" s="892">
        <v>330</v>
      </c>
      <c r="G327" s="892">
        <v>264.38</v>
      </c>
      <c r="H327" s="892">
        <v>120</v>
      </c>
      <c r="I327" s="892">
        <v>0</v>
      </c>
      <c r="J327" s="892">
        <v>0</v>
      </c>
      <c r="K327" s="892">
        <v>0</v>
      </c>
      <c r="L327" s="892">
        <v>0</v>
      </c>
      <c r="M327" s="892">
        <v>0</v>
      </c>
      <c r="N327" s="892">
        <v>0</v>
      </c>
      <c r="O327" s="892">
        <v>0</v>
      </c>
      <c r="P327" s="892">
        <v>0</v>
      </c>
      <c r="Q327" s="892">
        <v>110</v>
      </c>
      <c r="R327" s="892">
        <v>0</v>
      </c>
      <c r="S327" s="892">
        <v>0</v>
      </c>
      <c r="T327" s="892">
        <v>110</v>
      </c>
      <c r="U327" s="892">
        <v>34.380000000000003</v>
      </c>
      <c r="V327" s="892">
        <v>0</v>
      </c>
      <c r="W327" s="892">
        <v>0</v>
      </c>
      <c r="X327" s="901" t="s">
        <v>2639</v>
      </c>
    </row>
    <row r="328" spans="1:24" s="853" customFormat="1">
      <c r="A328" s="899" t="s">
        <v>1886</v>
      </c>
      <c r="B328" s="900" t="s">
        <v>512</v>
      </c>
      <c r="C328" s="892">
        <v>600</v>
      </c>
      <c r="D328" s="892">
        <v>0</v>
      </c>
      <c r="E328" s="892">
        <v>0</v>
      </c>
      <c r="F328" s="892">
        <v>600</v>
      </c>
      <c r="G328" s="892">
        <v>561.89099999999996</v>
      </c>
      <c r="H328" s="892">
        <v>165.39500000000001</v>
      </c>
      <c r="I328" s="892">
        <v>0</v>
      </c>
      <c r="J328" s="892">
        <v>0</v>
      </c>
      <c r="K328" s="892">
        <v>0</v>
      </c>
      <c r="L328" s="892">
        <v>0</v>
      </c>
      <c r="M328" s="892">
        <v>300</v>
      </c>
      <c r="N328" s="892">
        <v>0</v>
      </c>
      <c r="O328" s="892">
        <v>0</v>
      </c>
      <c r="P328" s="892">
        <v>0</v>
      </c>
      <c r="Q328" s="892">
        <v>0</v>
      </c>
      <c r="R328" s="892">
        <v>0</v>
      </c>
      <c r="S328" s="892">
        <v>0</v>
      </c>
      <c r="T328" s="892">
        <v>0</v>
      </c>
      <c r="U328" s="892">
        <v>96.495999999999995</v>
      </c>
      <c r="V328" s="892">
        <v>0</v>
      </c>
      <c r="W328" s="892">
        <v>0</v>
      </c>
      <c r="X328" s="901" t="s">
        <v>2640</v>
      </c>
    </row>
    <row r="329" spans="1:24" s="853" customFormat="1" ht="31.5">
      <c r="A329" s="899" t="s">
        <v>2469</v>
      </c>
      <c r="B329" s="902" t="s">
        <v>2023</v>
      </c>
      <c r="C329" s="892">
        <v>550</v>
      </c>
      <c r="D329" s="892">
        <v>0</v>
      </c>
      <c r="E329" s="892">
        <v>0</v>
      </c>
      <c r="F329" s="892">
        <v>550</v>
      </c>
      <c r="G329" s="892">
        <v>511.89100000000002</v>
      </c>
      <c r="H329" s="892">
        <v>165.39500000000001</v>
      </c>
      <c r="I329" s="892">
        <v>0</v>
      </c>
      <c r="J329" s="892">
        <v>0</v>
      </c>
      <c r="K329" s="892">
        <v>0</v>
      </c>
      <c r="L329" s="892">
        <v>0</v>
      </c>
      <c r="M329" s="892">
        <v>300</v>
      </c>
      <c r="N329" s="892">
        <v>0</v>
      </c>
      <c r="O329" s="892">
        <v>0</v>
      </c>
      <c r="P329" s="892">
        <v>0</v>
      </c>
      <c r="Q329" s="892">
        <v>0</v>
      </c>
      <c r="R329" s="892">
        <v>0</v>
      </c>
      <c r="S329" s="892">
        <v>0</v>
      </c>
      <c r="T329" s="892">
        <v>0</v>
      </c>
      <c r="U329" s="892">
        <v>46.496000000000002</v>
      </c>
      <c r="V329" s="892">
        <v>0</v>
      </c>
      <c r="W329" s="892">
        <v>0</v>
      </c>
      <c r="X329" s="901" t="s">
        <v>2641</v>
      </c>
    </row>
    <row r="330" spans="1:24" s="853" customFormat="1">
      <c r="A330" s="899" t="s">
        <v>2469</v>
      </c>
      <c r="B330" s="902" t="s">
        <v>2022</v>
      </c>
      <c r="C330" s="892">
        <v>50</v>
      </c>
      <c r="D330" s="892">
        <v>0</v>
      </c>
      <c r="E330" s="892">
        <v>0</v>
      </c>
      <c r="F330" s="892">
        <v>50</v>
      </c>
      <c r="G330" s="892">
        <v>50</v>
      </c>
      <c r="H330" s="892">
        <v>0</v>
      </c>
      <c r="I330" s="892">
        <v>0</v>
      </c>
      <c r="J330" s="892">
        <v>0</v>
      </c>
      <c r="K330" s="892">
        <v>0</v>
      </c>
      <c r="L330" s="892">
        <v>0</v>
      </c>
      <c r="M330" s="892">
        <v>0</v>
      </c>
      <c r="N330" s="892">
        <v>0</v>
      </c>
      <c r="O330" s="892">
        <v>0</v>
      </c>
      <c r="P330" s="892">
        <v>0</v>
      </c>
      <c r="Q330" s="892">
        <v>0</v>
      </c>
      <c r="R330" s="892">
        <v>0</v>
      </c>
      <c r="S330" s="892">
        <v>0</v>
      </c>
      <c r="T330" s="892">
        <v>0</v>
      </c>
      <c r="U330" s="892">
        <v>50</v>
      </c>
      <c r="V330" s="892">
        <v>0</v>
      </c>
      <c r="W330" s="892">
        <v>0</v>
      </c>
      <c r="X330" s="901" t="s">
        <v>2243</v>
      </c>
    </row>
    <row r="331" spans="1:24" s="853" customFormat="1">
      <c r="A331" s="899" t="s">
        <v>1976</v>
      </c>
      <c r="B331" s="900" t="s">
        <v>1515</v>
      </c>
      <c r="C331" s="892">
        <v>900</v>
      </c>
      <c r="D331" s="892">
        <v>0</v>
      </c>
      <c r="E331" s="892">
        <v>0</v>
      </c>
      <c r="F331" s="892">
        <v>900</v>
      </c>
      <c r="G331" s="892">
        <v>900</v>
      </c>
      <c r="H331" s="892">
        <v>0</v>
      </c>
      <c r="I331" s="892">
        <v>0</v>
      </c>
      <c r="J331" s="892">
        <v>0</v>
      </c>
      <c r="K331" s="892">
        <v>0</v>
      </c>
      <c r="L331" s="892">
        <v>0</v>
      </c>
      <c r="M331" s="892">
        <v>0</v>
      </c>
      <c r="N331" s="892">
        <v>0</v>
      </c>
      <c r="O331" s="892">
        <v>0</v>
      </c>
      <c r="P331" s="892">
        <v>0</v>
      </c>
      <c r="Q331" s="892">
        <v>900</v>
      </c>
      <c r="R331" s="892">
        <v>0</v>
      </c>
      <c r="S331" s="892">
        <v>700</v>
      </c>
      <c r="T331" s="892">
        <v>200</v>
      </c>
      <c r="U331" s="892">
        <v>0</v>
      </c>
      <c r="V331" s="892">
        <v>0</v>
      </c>
      <c r="W331" s="892">
        <v>0</v>
      </c>
      <c r="X331" s="901" t="s">
        <v>2243</v>
      </c>
    </row>
    <row r="332" spans="1:24" s="853" customFormat="1">
      <c r="A332" s="899" t="s">
        <v>2469</v>
      </c>
      <c r="B332" s="902" t="s">
        <v>2024</v>
      </c>
      <c r="C332" s="892">
        <v>900</v>
      </c>
      <c r="D332" s="892">
        <v>0</v>
      </c>
      <c r="E332" s="892">
        <v>0</v>
      </c>
      <c r="F332" s="892">
        <v>900</v>
      </c>
      <c r="G332" s="892">
        <v>900</v>
      </c>
      <c r="H332" s="892">
        <v>0</v>
      </c>
      <c r="I332" s="892">
        <v>0</v>
      </c>
      <c r="J332" s="892">
        <v>0</v>
      </c>
      <c r="K332" s="892">
        <v>0</v>
      </c>
      <c r="L332" s="892">
        <v>0</v>
      </c>
      <c r="M332" s="892">
        <v>0</v>
      </c>
      <c r="N332" s="892">
        <v>0</v>
      </c>
      <c r="O332" s="892">
        <v>0</v>
      </c>
      <c r="P332" s="892">
        <v>0</v>
      </c>
      <c r="Q332" s="892">
        <v>900</v>
      </c>
      <c r="R332" s="892">
        <v>0</v>
      </c>
      <c r="S332" s="892">
        <v>700</v>
      </c>
      <c r="T332" s="892">
        <v>200</v>
      </c>
      <c r="U332" s="892">
        <v>0</v>
      </c>
      <c r="V332" s="892">
        <v>0</v>
      </c>
      <c r="W332" s="892">
        <v>0</v>
      </c>
      <c r="X332" s="901" t="s">
        <v>2243</v>
      </c>
    </row>
    <row r="333" spans="1:24" s="853" customFormat="1">
      <c r="A333" s="899" t="s">
        <v>1977</v>
      </c>
      <c r="B333" s="900" t="s">
        <v>477</v>
      </c>
      <c r="C333" s="892">
        <v>250</v>
      </c>
      <c r="D333" s="892">
        <v>0</v>
      </c>
      <c r="E333" s="892">
        <v>0</v>
      </c>
      <c r="F333" s="892">
        <v>250</v>
      </c>
      <c r="G333" s="892">
        <v>243.798</v>
      </c>
      <c r="H333" s="892">
        <v>0</v>
      </c>
      <c r="I333" s="892">
        <v>0</v>
      </c>
      <c r="J333" s="892">
        <v>0</v>
      </c>
      <c r="K333" s="892">
        <v>0</v>
      </c>
      <c r="L333" s="892">
        <v>0</v>
      </c>
      <c r="M333" s="892">
        <v>0</v>
      </c>
      <c r="N333" s="892">
        <v>0</v>
      </c>
      <c r="O333" s="892">
        <v>0</v>
      </c>
      <c r="P333" s="892">
        <v>0</v>
      </c>
      <c r="Q333" s="892">
        <v>243.798</v>
      </c>
      <c r="R333" s="892">
        <v>0</v>
      </c>
      <c r="S333" s="892">
        <v>0</v>
      </c>
      <c r="T333" s="892">
        <v>243.798</v>
      </c>
      <c r="U333" s="892">
        <v>0</v>
      </c>
      <c r="V333" s="892">
        <v>0</v>
      </c>
      <c r="W333" s="892">
        <v>0</v>
      </c>
      <c r="X333" s="901" t="s">
        <v>2483</v>
      </c>
    </row>
    <row r="334" spans="1:24" s="853" customFormat="1" ht="31.5">
      <c r="A334" s="899" t="s">
        <v>2469</v>
      </c>
      <c r="B334" s="902" t="s">
        <v>2026</v>
      </c>
      <c r="C334" s="892">
        <v>250</v>
      </c>
      <c r="D334" s="892">
        <v>0</v>
      </c>
      <c r="E334" s="892">
        <v>0</v>
      </c>
      <c r="F334" s="892">
        <v>250</v>
      </c>
      <c r="G334" s="892">
        <v>243.798</v>
      </c>
      <c r="H334" s="892">
        <v>0</v>
      </c>
      <c r="I334" s="892">
        <v>0</v>
      </c>
      <c r="J334" s="892">
        <v>0</v>
      </c>
      <c r="K334" s="892">
        <v>0</v>
      </c>
      <c r="L334" s="892">
        <v>0</v>
      </c>
      <c r="M334" s="892">
        <v>0</v>
      </c>
      <c r="N334" s="892">
        <v>0</v>
      </c>
      <c r="O334" s="892">
        <v>0</v>
      </c>
      <c r="P334" s="892">
        <v>0</v>
      </c>
      <c r="Q334" s="892">
        <v>243.798</v>
      </c>
      <c r="R334" s="892">
        <v>0</v>
      </c>
      <c r="S334" s="892">
        <v>0</v>
      </c>
      <c r="T334" s="892">
        <v>243.798</v>
      </c>
      <c r="U334" s="892">
        <v>0</v>
      </c>
      <c r="V334" s="892">
        <v>0</v>
      </c>
      <c r="W334" s="892">
        <v>0</v>
      </c>
      <c r="X334" s="901" t="s">
        <v>2483</v>
      </c>
    </row>
    <row r="335" spans="1:24" s="853" customFormat="1">
      <c r="A335" s="899" t="s">
        <v>1978</v>
      </c>
      <c r="B335" s="900" t="s">
        <v>509</v>
      </c>
      <c r="C335" s="892">
        <v>214.054</v>
      </c>
      <c r="D335" s="892">
        <v>36.159999999999997</v>
      </c>
      <c r="E335" s="892">
        <v>0</v>
      </c>
      <c r="F335" s="892">
        <v>177.89400000000001</v>
      </c>
      <c r="G335" s="892">
        <v>128.435</v>
      </c>
      <c r="H335" s="892">
        <v>0</v>
      </c>
      <c r="I335" s="892">
        <v>0</v>
      </c>
      <c r="J335" s="892">
        <v>0</v>
      </c>
      <c r="K335" s="892">
        <v>0</v>
      </c>
      <c r="L335" s="892">
        <v>0</v>
      </c>
      <c r="M335" s="892">
        <v>0</v>
      </c>
      <c r="N335" s="892">
        <v>0</v>
      </c>
      <c r="O335" s="892">
        <v>0</v>
      </c>
      <c r="P335" s="892">
        <v>0</v>
      </c>
      <c r="Q335" s="892">
        <v>38.700000000000003</v>
      </c>
      <c r="R335" s="892">
        <v>0</v>
      </c>
      <c r="S335" s="892">
        <v>0</v>
      </c>
      <c r="T335" s="892">
        <v>38.700000000000003</v>
      </c>
      <c r="U335" s="892">
        <v>89.734999999999999</v>
      </c>
      <c r="V335" s="892">
        <v>0</v>
      </c>
      <c r="W335" s="892">
        <v>0</v>
      </c>
      <c r="X335" s="901" t="s">
        <v>2613</v>
      </c>
    </row>
    <row r="336" spans="1:24" s="853" customFormat="1">
      <c r="A336" s="899" t="s">
        <v>2469</v>
      </c>
      <c r="B336" s="902" t="s">
        <v>2030</v>
      </c>
      <c r="C336" s="892">
        <v>214.054</v>
      </c>
      <c r="D336" s="892">
        <v>36.159999999999997</v>
      </c>
      <c r="E336" s="892">
        <v>0</v>
      </c>
      <c r="F336" s="892">
        <v>177.89400000000001</v>
      </c>
      <c r="G336" s="892">
        <v>128.435</v>
      </c>
      <c r="H336" s="892">
        <v>0</v>
      </c>
      <c r="I336" s="892">
        <v>0</v>
      </c>
      <c r="J336" s="892">
        <v>0</v>
      </c>
      <c r="K336" s="892">
        <v>0</v>
      </c>
      <c r="L336" s="892">
        <v>0</v>
      </c>
      <c r="M336" s="892">
        <v>0</v>
      </c>
      <c r="N336" s="892">
        <v>0</v>
      </c>
      <c r="O336" s="892">
        <v>0</v>
      </c>
      <c r="P336" s="892">
        <v>0</v>
      </c>
      <c r="Q336" s="892">
        <v>38.700000000000003</v>
      </c>
      <c r="R336" s="892">
        <v>0</v>
      </c>
      <c r="S336" s="892">
        <v>0</v>
      </c>
      <c r="T336" s="892">
        <v>38.700000000000003</v>
      </c>
      <c r="U336" s="892">
        <v>89.734999999999999</v>
      </c>
      <c r="V336" s="892">
        <v>0</v>
      </c>
      <c r="W336" s="892">
        <v>0</v>
      </c>
      <c r="X336" s="901" t="s">
        <v>2613</v>
      </c>
    </row>
    <row r="337" spans="1:24" s="853" customFormat="1">
      <c r="A337" s="899" t="s">
        <v>1979</v>
      </c>
      <c r="B337" s="900" t="s">
        <v>545</v>
      </c>
      <c r="C337" s="892">
        <v>100</v>
      </c>
      <c r="D337" s="892">
        <v>0</v>
      </c>
      <c r="E337" s="892">
        <v>0</v>
      </c>
      <c r="F337" s="892">
        <v>100</v>
      </c>
      <c r="G337" s="892">
        <v>100</v>
      </c>
      <c r="H337" s="892">
        <v>100</v>
      </c>
      <c r="I337" s="892">
        <v>0</v>
      </c>
      <c r="J337" s="892">
        <v>0</v>
      </c>
      <c r="K337" s="892">
        <v>0</v>
      </c>
      <c r="L337" s="892">
        <v>0</v>
      </c>
      <c r="M337" s="892">
        <v>0</v>
      </c>
      <c r="N337" s="892">
        <v>0</v>
      </c>
      <c r="O337" s="892">
        <v>0</v>
      </c>
      <c r="P337" s="892">
        <v>0</v>
      </c>
      <c r="Q337" s="892">
        <v>0</v>
      </c>
      <c r="R337" s="892">
        <v>0</v>
      </c>
      <c r="S337" s="892">
        <v>0</v>
      </c>
      <c r="T337" s="892">
        <v>0</v>
      </c>
      <c r="U337" s="892">
        <v>0</v>
      </c>
      <c r="V337" s="892">
        <v>0</v>
      </c>
      <c r="W337" s="892">
        <v>0</v>
      </c>
      <c r="X337" s="901" t="s">
        <v>2243</v>
      </c>
    </row>
    <row r="338" spans="1:24" s="853" customFormat="1">
      <c r="A338" s="899" t="s">
        <v>2469</v>
      </c>
      <c r="B338" s="902" t="s">
        <v>2031</v>
      </c>
      <c r="C338" s="892">
        <v>100</v>
      </c>
      <c r="D338" s="892">
        <v>0</v>
      </c>
      <c r="E338" s="892">
        <v>0</v>
      </c>
      <c r="F338" s="892">
        <v>100</v>
      </c>
      <c r="G338" s="892">
        <v>100</v>
      </c>
      <c r="H338" s="892">
        <v>100</v>
      </c>
      <c r="I338" s="892">
        <v>0</v>
      </c>
      <c r="J338" s="892">
        <v>0</v>
      </c>
      <c r="K338" s="892">
        <v>0</v>
      </c>
      <c r="L338" s="892">
        <v>0</v>
      </c>
      <c r="M338" s="892">
        <v>0</v>
      </c>
      <c r="N338" s="892">
        <v>0</v>
      </c>
      <c r="O338" s="892">
        <v>0</v>
      </c>
      <c r="P338" s="892">
        <v>0</v>
      </c>
      <c r="Q338" s="892">
        <v>0</v>
      </c>
      <c r="R338" s="892">
        <v>0</v>
      </c>
      <c r="S338" s="892">
        <v>0</v>
      </c>
      <c r="T338" s="892">
        <v>0</v>
      </c>
      <c r="U338" s="892">
        <v>0</v>
      </c>
      <c r="V338" s="892">
        <v>0</v>
      </c>
      <c r="W338" s="892">
        <v>0</v>
      </c>
      <c r="X338" s="901" t="s">
        <v>2243</v>
      </c>
    </row>
    <row r="339" spans="1:24" s="853" customFormat="1">
      <c r="A339" s="899" t="s">
        <v>1980</v>
      </c>
      <c r="B339" s="900" t="s">
        <v>2247</v>
      </c>
      <c r="C339" s="892">
        <v>1822.807</v>
      </c>
      <c r="D339" s="892">
        <v>22.806999999999999</v>
      </c>
      <c r="E339" s="892">
        <v>0</v>
      </c>
      <c r="F339" s="892">
        <v>1800</v>
      </c>
      <c r="G339" s="892">
        <v>186.959</v>
      </c>
      <c r="H339" s="892">
        <v>186.959</v>
      </c>
      <c r="I339" s="892">
        <v>0</v>
      </c>
      <c r="J339" s="892">
        <v>0</v>
      </c>
      <c r="K339" s="892">
        <v>0</v>
      </c>
      <c r="L339" s="892">
        <v>0</v>
      </c>
      <c r="M339" s="892">
        <v>0</v>
      </c>
      <c r="N339" s="892">
        <v>0</v>
      </c>
      <c r="O339" s="892">
        <v>0</v>
      </c>
      <c r="P339" s="892">
        <v>0</v>
      </c>
      <c r="Q339" s="892">
        <v>0</v>
      </c>
      <c r="R339" s="892">
        <v>0</v>
      </c>
      <c r="S339" s="892">
        <v>0</v>
      </c>
      <c r="T339" s="892">
        <v>0</v>
      </c>
      <c r="U339" s="892">
        <v>0</v>
      </c>
      <c r="V339" s="892">
        <v>0</v>
      </c>
      <c r="W339" s="892">
        <v>0</v>
      </c>
      <c r="X339" s="901" t="s">
        <v>2481</v>
      </c>
    </row>
    <row r="340" spans="1:24" s="853" customFormat="1" ht="31.5">
      <c r="A340" s="899" t="s">
        <v>2469</v>
      </c>
      <c r="B340" s="902" t="s">
        <v>2033</v>
      </c>
      <c r="C340" s="892">
        <v>1822.807</v>
      </c>
      <c r="D340" s="892">
        <v>22.806999999999999</v>
      </c>
      <c r="E340" s="892">
        <v>0</v>
      </c>
      <c r="F340" s="892">
        <v>1800</v>
      </c>
      <c r="G340" s="892">
        <v>186.959</v>
      </c>
      <c r="H340" s="892">
        <v>186.959</v>
      </c>
      <c r="I340" s="892">
        <v>0</v>
      </c>
      <c r="J340" s="892">
        <v>0</v>
      </c>
      <c r="K340" s="892">
        <v>0</v>
      </c>
      <c r="L340" s="892">
        <v>0</v>
      </c>
      <c r="M340" s="892">
        <v>0</v>
      </c>
      <c r="N340" s="892">
        <v>0</v>
      </c>
      <c r="O340" s="892">
        <v>0</v>
      </c>
      <c r="P340" s="892">
        <v>0</v>
      </c>
      <c r="Q340" s="892">
        <v>0</v>
      </c>
      <c r="R340" s="892">
        <v>0</v>
      </c>
      <c r="S340" s="892">
        <v>0</v>
      </c>
      <c r="T340" s="892">
        <v>0</v>
      </c>
      <c r="U340" s="892">
        <v>0</v>
      </c>
      <c r="V340" s="892">
        <v>0</v>
      </c>
      <c r="W340" s="892">
        <v>0</v>
      </c>
      <c r="X340" s="901" t="s">
        <v>2481</v>
      </c>
    </row>
    <row r="341" spans="1:24" s="853" customFormat="1">
      <c r="A341" s="899" t="s">
        <v>1981</v>
      </c>
      <c r="B341" s="900" t="s">
        <v>373</v>
      </c>
      <c r="C341" s="892">
        <v>5072</v>
      </c>
      <c r="D341" s="892">
        <v>1887</v>
      </c>
      <c r="E341" s="892">
        <v>0</v>
      </c>
      <c r="F341" s="892">
        <v>3185</v>
      </c>
      <c r="G341" s="892">
        <v>20.736000000000001</v>
      </c>
      <c r="H341" s="892">
        <v>20.736000000000001</v>
      </c>
      <c r="I341" s="892">
        <v>0</v>
      </c>
      <c r="J341" s="892">
        <v>0</v>
      </c>
      <c r="K341" s="892">
        <v>0</v>
      </c>
      <c r="L341" s="892">
        <v>0</v>
      </c>
      <c r="M341" s="892">
        <v>0</v>
      </c>
      <c r="N341" s="892">
        <v>0</v>
      </c>
      <c r="O341" s="892">
        <v>0</v>
      </c>
      <c r="P341" s="892">
        <v>0</v>
      </c>
      <c r="Q341" s="892">
        <v>0</v>
      </c>
      <c r="R341" s="892">
        <v>0</v>
      </c>
      <c r="S341" s="892">
        <v>0</v>
      </c>
      <c r="T341" s="892">
        <v>0</v>
      </c>
      <c r="U341" s="892">
        <v>0</v>
      </c>
      <c r="V341" s="892">
        <v>0</v>
      </c>
      <c r="W341" s="892">
        <v>0</v>
      </c>
      <c r="X341" s="901" t="s">
        <v>2642</v>
      </c>
    </row>
    <row r="342" spans="1:24" s="853" customFormat="1" ht="31.5">
      <c r="A342" s="899" t="s">
        <v>2469</v>
      </c>
      <c r="B342" s="902" t="s">
        <v>2038</v>
      </c>
      <c r="C342" s="892">
        <v>5072</v>
      </c>
      <c r="D342" s="892">
        <v>1887</v>
      </c>
      <c r="E342" s="892">
        <v>0</v>
      </c>
      <c r="F342" s="892">
        <v>3185</v>
      </c>
      <c r="G342" s="892">
        <v>20.736000000000001</v>
      </c>
      <c r="H342" s="892">
        <v>20.736000000000001</v>
      </c>
      <c r="I342" s="892">
        <v>0</v>
      </c>
      <c r="J342" s="892">
        <v>0</v>
      </c>
      <c r="K342" s="892">
        <v>0</v>
      </c>
      <c r="L342" s="892">
        <v>0</v>
      </c>
      <c r="M342" s="892">
        <v>0</v>
      </c>
      <c r="N342" s="892">
        <v>0</v>
      </c>
      <c r="O342" s="892">
        <v>0</v>
      </c>
      <c r="P342" s="892">
        <v>0</v>
      </c>
      <c r="Q342" s="892">
        <v>0</v>
      </c>
      <c r="R342" s="892">
        <v>0</v>
      </c>
      <c r="S342" s="892">
        <v>0</v>
      </c>
      <c r="T342" s="892">
        <v>0</v>
      </c>
      <c r="U342" s="892">
        <v>0</v>
      </c>
      <c r="V342" s="892">
        <v>0</v>
      </c>
      <c r="W342" s="892">
        <v>0</v>
      </c>
      <c r="X342" s="901" t="s">
        <v>2642</v>
      </c>
    </row>
    <row r="343" spans="1:24" s="853" customFormat="1">
      <c r="A343" s="899" t="s">
        <v>1982</v>
      </c>
      <c r="B343" s="900" t="s">
        <v>525</v>
      </c>
      <c r="C343" s="892">
        <v>4126.35358</v>
      </c>
      <c r="D343" s="892">
        <v>471.35358000000002</v>
      </c>
      <c r="E343" s="892">
        <v>0</v>
      </c>
      <c r="F343" s="892">
        <v>3655</v>
      </c>
      <c r="G343" s="892">
        <v>3343.826028</v>
      </c>
      <c r="H343" s="892">
        <v>257.046942</v>
      </c>
      <c r="I343" s="892">
        <v>0</v>
      </c>
      <c r="J343" s="892">
        <v>0</v>
      </c>
      <c r="K343" s="892">
        <v>0</v>
      </c>
      <c r="L343" s="892">
        <v>3068.531336</v>
      </c>
      <c r="M343" s="892">
        <v>0</v>
      </c>
      <c r="N343" s="892">
        <v>0</v>
      </c>
      <c r="O343" s="892">
        <v>0</v>
      </c>
      <c r="P343" s="892">
        <v>0</v>
      </c>
      <c r="Q343" s="892">
        <v>18.24775</v>
      </c>
      <c r="R343" s="892">
        <v>0</v>
      </c>
      <c r="S343" s="892">
        <v>0</v>
      </c>
      <c r="T343" s="892">
        <v>18.24775</v>
      </c>
      <c r="U343" s="892">
        <v>0</v>
      </c>
      <c r="V343" s="892">
        <v>0</v>
      </c>
      <c r="W343" s="892">
        <v>0</v>
      </c>
      <c r="X343" s="901" t="s">
        <v>2643</v>
      </c>
    </row>
    <row r="344" spans="1:24" s="853" customFormat="1" ht="31.5">
      <c r="A344" s="899" t="s">
        <v>2469</v>
      </c>
      <c r="B344" s="902" t="s">
        <v>2071</v>
      </c>
      <c r="C344" s="892">
        <v>25</v>
      </c>
      <c r="D344" s="892">
        <v>0</v>
      </c>
      <c r="E344" s="892">
        <v>0</v>
      </c>
      <c r="F344" s="892">
        <v>25</v>
      </c>
      <c r="G344" s="892">
        <v>25</v>
      </c>
      <c r="H344" s="892">
        <v>25</v>
      </c>
      <c r="I344" s="892">
        <v>0</v>
      </c>
      <c r="J344" s="892">
        <v>0</v>
      </c>
      <c r="K344" s="892">
        <v>0</v>
      </c>
      <c r="L344" s="892">
        <v>0</v>
      </c>
      <c r="M344" s="892">
        <v>0</v>
      </c>
      <c r="N344" s="892">
        <v>0</v>
      </c>
      <c r="O344" s="892">
        <v>0</v>
      </c>
      <c r="P344" s="892">
        <v>0</v>
      </c>
      <c r="Q344" s="892">
        <v>0</v>
      </c>
      <c r="R344" s="892">
        <v>0</v>
      </c>
      <c r="S344" s="892">
        <v>0</v>
      </c>
      <c r="T344" s="892">
        <v>0</v>
      </c>
      <c r="U344" s="892">
        <v>0</v>
      </c>
      <c r="V344" s="892">
        <v>0</v>
      </c>
      <c r="W344" s="892">
        <v>0</v>
      </c>
      <c r="X344" s="901" t="s">
        <v>2243</v>
      </c>
    </row>
    <row r="345" spans="1:24" s="853" customFormat="1" ht="31.5">
      <c r="A345" s="899" t="s">
        <v>2469</v>
      </c>
      <c r="B345" s="902" t="s">
        <v>2072</v>
      </c>
      <c r="C345" s="892">
        <v>11</v>
      </c>
      <c r="D345" s="892">
        <v>0</v>
      </c>
      <c r="E345" s="892">
        <v>0</v>
      </c>
      <c r="F345" s="892">
        <v>11</v>
      </c>
      <c r="G345" s="892">
        <v>11</v>
      </c>
      <c r="H345" s="892">
        <v>11</v>
      </c>
      <c r="I345" s="892">
        <v>0</v>
      </c>
      <c r="J345" s="892">
        <v>0</v>
      </c>
      <c r="K345" s="892">
        <v>0</v>
      </c>
      <c r="L345" s="892">
        <v>0</v>
      </c>
      <c r="M345" s="892">
        <v>0</v>
      </c>
      <c r="N345" s="892">
        <v>0</v>
      </c>
      <c r="O345" s="892">
        <v>0</v>
      </c>
      <c r="P345" s="892">
        <v>0</v>
      </c>
      <c r="Q345" s="892">
        <v>0</v>
      </c>
      <c r="R345" s="892">
        <v>0</v>
      </c>
      <c r="S345" s="892">
        <v>0</v>
      </c>
      <c r="T345" s="892">
        <v>0</v>
      </c>
      <c r="U345" s="892">
        <v>0</v>
      </c>
      <c r="V345" s="892">
        <v>0</v>
      </c>
      <c r="W345" s="892">
        <v>0</v>
      </c>
      <c r="X345" s="901" t="s">
        <v>2243</v>
      </c>
    </row>
    <row r="346" spans="1:24" s="853" customFormat="1">
      <c r="A346" s="899" t="s">
        <v>2469</v>
      </c>
      <c r="B346" s="902" t="s">
        <v>2073</v>
      </c>
      <c r="C346" s="892">
        <v>124</v>
      </c>
      <c r="D346" s="892">
        <v>0</v>
      </c>
      <c r="E346" s="892">
        <v>0</v>
      </c>
      <c r="F346" s="892">
        <v>124</v>
      </c>
      <c r="G346" s="892">
        <v>124</v>
      </c>
      <c r="H346" s="892">
        <v>26</v>
      </c>
      <c r="I346" s="892">
        <v>0</v>
      </c>
      <c r="J346" s="892">
        <v>0</v>
      </c>
      <c r="K346" s="892">
        <v>0</v>
      </c>
      <c r="L346" s="892">
        <v>98</v>
      </c>
      <c r="M346" s="892">
        <v>0</v>
      </c>
      <c r="N346" s="892">
        <v>0</v>
      </c>
      <c r="O346" s="892">
        <v>0</v>
      </c>
      <c r="P346" s="892">
        <v>0</v>
      </c>
      <c r="Q346" s="892">
        <v>0</v>
      </c>
      <c r="R346" s="892">
        <v>0</v>
      </c>
      <c r="S346" s="892">
        <v>0</v>
      </c>
      <c r="T346" s="892">
        <v>0</v>
      </c>
      <c r="U346" s="892">
        <v>0</v>
      </c>
      <c r="V346" s="892">
        <v>0</v>
      </c>
      <c r="W346" s="892">
        <v>0</v>
      </c>
      <c r="X346" s="901" t="s">
        <v>2243</v>
      </c>
    </row>
    <row r="347" spans="1:24" s="853" customFormat="1">
      <c r="A347" s="899" t="s">
        <v>2469</v>
      </c>
      <c r="B347" s="902" t="s">
        <v>2074</v>
      </c>
      <c r="C347" s="892">
        <v>277</v>
      </c>
      <c r="D347" s="892">
        <v>0</v>
      </c>
      <c r="E347" s="892">
        <v>0</v>
      </c>
      <c r="F347" s="892">
        <v>277</v>
      </c>
      <c r="G347" s="892">
        <v>254.73231999999999</v>
      </c>
      <c r="H347" s="892">
        <v>22</v>
      </c>
      <c r="I347" s="892">
        <v>0</v>
      </c>
      <c r="J347" s="892">
        <v>0</v>
      </c>
      <c r="K347" s="892">
        <v>0</v>
      </c>
      <c r="L347" s="892">
        <v>232.73231999999999</v>
      </c>
      <c r="M347" s="892">
        <v>0</v>
      </c>
      <c r="N347" s="892">
        <v>0</v>
      </c>
      <c r="O347" s="892">
        <v>0</v>
      </c>
      <c r="P347" s="892">
        <v>0</v>
      </c>
      <c r="Q347" s="892">
        <v>0</v>
      </c>
      <c r="R347" s="892">
        <v>0</v>
      </c>
      <c r="S347" s="892">
        <v>0</v>
      </c>
      <c r="T347" s="892">
        <v>0</v>
      </c>
      <c r="U347" s="892">
        <v>0</v>
      </c>
      <c r="V347" s="892">
        <v>0</v>
      </c>
      <c r="W347" s="892">
        <v>0</v>
      </c>
      <c r="X347" s="901" t="s">
        <v>2644</v>
      </c>
    </row>
    <row r="348" spans="1:24" s="853" customFormat="1">
      <c r="A348" s="899" t="s">
        <v>2469</v>
      </c>
      <c r="B348" s="902" t="s">
        <v>2075</v>
      </c>
      <c r="C348" s="892">
        <v>26</v>
      </c>
      <c r="D348" s="892">
        <v>0</v>
      </c>
      <c r="E348" s="892">
        <v>0</v>
      </c>
      <c r="F348" s="892">
        <v>26</v>
      </c>
      <c r="G348" s="892">
        <v>26</v>
      </c>
      <c r="H348" s="892">
        <v>26</v>
      </c>
      <c r="I348" s="892">
        <v>0</v>
      </c>
      <c r="J348" s="892">
        <v>0</v>
      </c>
      <c r="K348" s="892">
        <v>0</v>
      </c>
      <c r="L348" s="892">
        <v>0</v>
      </c>
      <c r="M348" s="892">
        <v>0</v>
      </c>
      <c r="N348" s="892">
        <v>0</v>
      </c>
      <c r="O348" s="892">
        <v>0</v>
      </c>
      <c r="P348" s="892">
        <v>0</v>
      </c>
      <c r="Q348" s="892">
        <v>0</v>
      </c>
      <c r="R348" s="892">
        <v>0</v>
      </c>
      <c r="S348" s="892">
        <v>0</v>
      </c>
      <c r="T348" s="892">
        <v>0</v>
      </c>
      <c r="U348" s="892">
        <v>0</v>
      </c>
      <c r="V348" s="892">
        <v>0</v>
      </c>
      <c r="W348" s="892">
        <v>0</v>
      </c>
      <c r="X348" s="901" t="s">
        <v>2243</v>
      </c>
    </row>
    <row r="349" spans="1:24" s="853" customFormat="1">
      <c r="A349" s="899" t="s">
        <v>2469</v>
      </c>
      <c r="B349" s="902" t="s">
        <v>2076</v>
      </c>
      <c r="C349" s="892">
        <v>8</v>
      </c>
      <c r="D349" s="892">
        <v>0</v>
      </c>
      <c r="E349" s="892">
        <v>0</v>
      </c>
      <c r="F349" s="892">
        <v>8</v>
      </c>
      <c r="G349" s="892">
        <v>8</v>
      </c>
      <c r="H349" s="892">
        <v>8</v>
      </c>
      <c r="I349" s="892">
        <v>0</v>
      </c>
      <c r="J349" s="892">
        <v>0</v>
      </c>
      <c r="K349" s="892">
        <v>0</v>
      </c>
      <c r="L349" s="892">
        <v>0</v>
      </c>
      <c r="M349" s="892">
        <v>0</v>
      </c>
      <c r="N349" s="892">
        <v>0</v>
      </c>
      <c r="O349" s="892">
        <v>0</v>
      </c>
      <c r="P349" s="892">
        <v>0</v>
      </c>
      <c r="Q349" s="892">
        <v>0</v>
      </c>
      <c r="R349" s="892">
        <v>0</v>
      </c>
      <c r="S349" s="892">
        <v>0</v>
      </c>
      <c r="T349" s="892">
        <v>0</v>
      </c>
      <c r="U349" s="892">
        <v>0</v>
      </c>
      <c r="V349" s="892">
        <v>0</v>
      </c>
      <c r="W349" s="892">
        <v>0</v>
      </c>
      <c r="X349" s="901" t="s">
        <v>2243</v>
      </c>
    </row>
    <row r="350" spans="1:24" s="853" customFormat="1" ht="31.5">
      <c r="A350" s="899" t="s">
        <v>2469</v>
      </c>
      <c r="B350" s="902" t="s">
        <v>2077</v>
      </c>
      <c r="C350" s="892">
        <v>1789.7043799999999</v>
      </c>
      <c r="D350" s="892">
        <v>340.70438000000001</v>
      </c>
      <c r="E350" s="892">
        <v>0</v>
      </c>
      <c r="F350" s="892">
        <v>1449</v>
      </c>
      <c r="G350" s="892">
        <v>1191.791258</v>
      </c>
      <c r="H350" s="892">
        <v>46.919542</v>
      </c>
      <c r="I350" s="892">
        <v>0</v>
      </c>
      <c r="J350" s="892">
        <v>0</v>
      </c>
      <c r="K350" s="892">
        <v>0</v>
      </c>
      <c r="L350" s="892">
        <v>1144.8717160000001</v>
      </c>
      <c r="M350" s="892">
        <v>0</v>
      </c>
      <c r="N350" s="892">
        <v>0</v>
      </c>
      <c r="O350" s="892">
        <v>0</v>
      </c>
      <c r="P350" s="892">
        <v>0</v>
      </c>
      <c r="Q350" s="892">
        <v>0</v>
      </c>
      <c r="R350" s="892">
        <v>0</v>
      </c>
      <c r="S350" s="892">
        <v>0</v>
      </c>
      <c r="T350" s="892">
        <v>0</v>
      </c>
      <c r="U350" s="892">
        <v>0</v>
      </c>
      <c r="V350" s="892">
        <v>0</v>
      </c>
      <c r="W350" s="892">
        <v>0</v>
      </c>
      <c r="X350" s="901" t="s">
        <v>2645</v>
      </c>
    </row>
    <row r="351" spans="1:24" s="853" customFormat="1">
      <c r="A351" s="899" t="s">
        <v>2469</v>
      </c>
      <c r="B351" s="902" t="s">
        <v>2079</v>
      </c>
      <c r="C351" s="892">
        <v>6</v>
      </c>
      <c r="D351" s="892">
        <v>0</v>
      </c>
      <c r="E351" s="892">
        <v>0</v>
      </c>
      <c r="F351" s="892">
        <v>6</v>
      </c>
      <c r="G351" s="892">
        <v>4</v>
      </c>
      <c r="H351" s="892">
        <v>4</v>
      </c>
      <c r="I351" s="892">
        <v>0</v>
      </c>
      <c r="J351" s="892">
        <v>0</v>
      </c>
      <c r="K351" s="892">
        <v>0</v>
      </c>
      <c r="L351" s="892">
        <v>0</v>
      </c>
      <c r="M351" s="892">
        <v>0</v>
      </c>
      <c r="N351" s="892">
        <v>0</v>
      </c>
      <c r="O351" s="892">
        <v>0</v>
      </c>
      <c r="P351" s="892">
        <v>0</v>
      </c>
      <c r="Q351" s="892">
        <v>0</v>
      </c>
      <c r="R351" s="892">
        <v>0</v>
      </c>
      <c r="S351" s="892">
        <v>0</v>
      </c>
      <c r="T351" s="892">
        <v>0</v>
      </c>
      <c r="U351" s="892">
        <v>0</v>
      </c>
      <c r="V351" s="892">
        <v>0</v>
      </c>
      <c r="W351" s="892">
        <v>0</v>
      </c>
      <c r="X351" s="901" t="s">
        <v>2646</v>
      </c>
    </row>
    <row r="352" spans="1:24" s="853" customFormat="1" ht="31.5">
      <c r="A352" s="899" t="s">
        <v>2469</v>
      </c>
      <c r="B352" s="902" t="s">
        <v>2085</v>
      </c>
      <c r="C352" s="892">
        <v>200</v>
      </c>
      <c r="D352" s="892">
        <v>0</v>
      </c>
      <c r="E352" s="892">
        <v>0</v>
      </c>
      <c r="F352" s="892">
        <v>200</v>
      </c>
      <c r="G352" s="892">
        <v>200</v>
      </c>
      <c r="H352" s="892">
        <v>0</v>
      </c>
      <c r="I352" s="892">
        <v>0</v>
      </c>
      <c r="J352" s="892">
        <v>0</v>
      </c>
      <c r="K352" s="892">
        <v>0</v>
      </c>
      <c r="L352" s="892">
        <v>200</v>
      </c>
      <c r="M352" s="892">
        <v>0</v>
      </c>
      <c r="N352" s="892">
        <v>0</v>
      </c>
      <c r="O352" s="892">
        <v>0</v>
      </c>
      <c r="P352" s="892">
        <v>0</v>
      </c>
      <c r="Q352" s="892">
        <v>0</v>
      </c>
      <c r="R352" s="892">
        <v>0</v>
      </c>
      <c r="S352" s="892">
        <v>0</v>
      </c>
      <c r="T352" s="892">
        <v>0</v>
      </c>
      <c r="U352" s="892">
        <v>0</v>
      </c>
      <c r="V352" s="892">
        <v>0</v>
      </c>
      <c r="W352" s="892">
        <v>0</v>
      </c>
      <c r="X352" s="901" t="s">
        <v>2243</v>
      </c>
    </row>
    <row r="353" spans="1:24" s="853" customFormat="1">
      <c r="A353" s="899" t="s">
        <v>2469</v>
      </c>
      <c r="B353" s="902" t="s">
        <v>2086</v>
      </c>
      <c r="C353" s="892">
        <v>1268.3214</v>
      </c>
      <c r="D353" s="892">
        <v>75.321399999999997</v>
      </c>
      <c r="E353" s="892">
        <v>0</v>
      </c>
      <c r="F353" s="892">
        <v>1193</v>
      </c>
      <c r="G353" s="892">
        <v>1114.4314999999999</v>
      </c>
      <c r="H353" s="892">
        <v>52.127400000000002</v>
      </c>
      <c r="I353" s="892">
        <v>0</v>
      </c>
      <c r="J353" s="892">
        <v>0</v>
      </c>
      <c r="K353" s="892">
        <v>0</v>
      </c>
      <c r="L353" s="892">
        <v>1062.3041000000001</v>
      </c>
      <c r="M353" s="892">
        <v>0</v>
      </c>
      <c r="N353" s="892">
        <v>0</v>
      </c>
      <c r="O353" s="892">
        <v>0</v>
      </c>
      <c r="P353" s="892">
        <v>0</v>
      </c>
      <c r="Q353" s="892">
        <v>0</v>
      </c>
      <c r="R353" s="892">
        <v>0</v>
      </c>
      <c r="S353" s="892">
        <v>0</v>
      </c>
      <c r="T353" s="892">
        <v>0</v>
      </c>
      <c r="U353" s="892">
        <v>0</v>
      </c>
      <c r="V353" s="892">
        <v>0</v>
      </c>
      <c r="W353" s="892">
        <v>0</v>
      </c>
      <c r="X353" s="901" t="s">
        <v>2638</v>
      </c>
    </row>
    <row r="354" spans="1:24" s="853" customFormat="1" ht="31.5">
      <c r="A354" s="899" t="s">
        <v>2469</v>
      </c>
      <c r="B354" s="902" t="s">
        <v>2091</v>
      </c>
      <c r="C354" s="892">
        <v>391.32780000000002</v>
      </c>
      <c r="D354" s="892">
        <v>55.327800000000003</v>
      </c>
      <c r="E354" s="892">
        <v>0</v>
      </c>
      <c r="F354" s="892">
        <v>336</v>
      </c>
      <c r="G354" s="892">
        <v>384.87094999999999</v>
      </c>
      <c r="H354" s="892">
        <v>36</v>
      </c>
      <c r="I354" s="892">
        <v>0</v>
      </c>
      <c r="J354" s="892">
        <v>0</v>
      </c>
      <c r="K354" s="892">
        <v>0</v>
      </c>
      <c r="L354" s="892">
        <v>330.6232</v>
      </c>
      <c r="M354" s="892">
        <v>0</v>
      </c>
      <c r="N354" s="892">
        <v>0</v>
      </c>
      <c r="O354" s="892">
        <v>0</v>
      </c>
      <c r="P354" s="892">
        <v>0</v>
      </c>
      <c r="Q354" s="892">
        <v>18.24775</v>
      </c>
      <c r="R354" s="892">
        <v>0</v>
      </c>
      <c r="S354" s="892">
        <v>0</v>
      </c>
      <c r="T354" s="892">
        <v>18.24775</v>
      </c>
      <c r="U354" s="892">
        <v>0</v>
      </c>
      <c r="V354" s="892">
        <v>0</v>
      </c>
      <c r="W354" s="892">
        <v>0</v>
      </c>
      <c r="X354" s="901" t="s">
        <v>2647</v>
      </c>
    </row>
    <row r="355" spans="1:24" s="853" customFormat="1">
      <c r="A355" s="899" t="s">
        <v>1983</v>
      </c>
      <c r="B355" s="900" t="s">
        <v>2250</v>
      </c>
      <c r="C355" s="892">
        <v>9362.6351300000006</v>
      </c>
      <c r="D355" s="892">
        <v>2845.4351299999998</v>
      </c>
      <c r="E355" s="892">
        <v>1590</v>
      </c>
      <c r="F355" s="892">
        <v>4927.2</v>
      </c>
      <c r="G355" s="892">
        <v>3849.8082789999999</v>
      </c>
      <c r="H355" s="892">
        <v>2852.0152130000001</v>
      </c>
      <c r="I355" s="892">
        <v>0</v>
      </c>
      <c r="J355" s="892">
        <v>0</v>
      </c>
      <c r="K355" s="892">
        <v>0</v>
      </c>
      <c r="L355" s="892">
        <v>0</v>
      </c>
      <c r="M355" s="892">
        <v>0</v>
      </c>
      <c r="N355" s="892">
        <v>0</v>
      </c>
      <c r="O355" s="892">
        <v>0</v>
      </c>
      <c r="P355" s="892">
        <v>0</v>
      </c>
      <c r="Q355" s="892">
        <v>945.76360399999999</v>
      </c>
      <c r="R355" s="892">
        <v>0</v>
      </c>
      <c r="S355" s="892">
        <v>0</v>
      </c>
      <c r="T355" s="892">
        <v>945.76360399999999</v>
      </c>
      <c r="U355" s="892">
        <v>0</v>
      </c>
      <c r="V355" s="892">
        <v>52.029462000000002</v>
      </c>
      <c r="W355" s="892">
        <v>0</v>
      </c>
      <c r="X355" s="901" t="s">
        <v>2648</v>
      </c>
    </row>
    <row r="356" spans="1:24" s="853" customFormat="1" ht="31.5">
      <c r="A356" s="899" t="s">
        <v>2469</v>
      </c>
      <c r="B356" s="902" t="s">
        <v>2101</v>
      </c>
      <c r="C356" s="892">
        <v>561.20000000000005</v>
      </c>
      <c r="D356" s="892">
        <v>0</v>
      </c>
      <c r="E356" s="892">
        <v>0</v>
      </c>
      <c r="F356" s="892">
        <v>561.20000000000005</v>
      </c>
      <c r="G356" s="892">
        <v>244.08136500000001</v>
      </c>
      <c r="H356" s="892">
        <v>157.40329</v>
      </c>
      <c r="I356" s="892">
        <v>0</v>
      </c>
      <c r="J356" s="892">
        <v>0</v>
      </c>
      <c r="K356" s="892">
        <v>0</v>
      </c>
      <c r="L356" s="892">
        <v>0</v>
      </c>
      <c r="M356" s="892">
        <v>0</v>
      </c>
      <c r="N356" s="892">
        <v>0</v>
      </c>
      <c r="O356" s="892">
        <v>0</v>
      </c>
      <c r="P356" s="892">
        <v>0</v>
      </c>
      <c r="Q356" s="892">
        <v>86.678075000000007</v>
      </c>
      <c r="R356" s="892">
        <v>0</v>
      </c>
      <c r="S356" s="892">
        <v>0</v>
      </c>
      <c r="T356" s="892">
        <v>86.678075000000007</v>
      </c>
      <c r="U356" s="892">
        <v>0</v>
      </c>
      <c r="V356" s="892">
        <v>0</v>
      </c>
      <c r="W356" s="892">
        <v>0</v>
      </c>
      <c r="X356" s="901" t="s">
        <v>2649</v>
      </c>
    </row>
    <row r="357" spans="1:24" s="853" customFormat="1" ht="31.5">
      <c r="A357" s="899" t="s">
        <v>2469</v>
      </c>
      <c r="B357" s="902" t="s">
        <v>2093</v>
      </c>
      <c r="C357" s="892">
        <v>8801.4351299999998</v>
      </c>
      <c r="D357" s="892">
        <v>2845.4351299999998</v>
      </c>
      <c r="E357" s="892">
        <v>1590</v>
      </c>
      <c r="F357" s="892">
        <v>4366</v>
      </c>
      <c r="G357" s="892">
        <v>3605.7269139999999</v>
      </c>
      <c r="H357" s="892">
        <v>2694.6119229999999</v>
      </c>
      <c r="I357" s="892">
        <v>0</v>
      </c>
      <c r="J357" s="892">
        <v>0</v>
      </c>
      <c r="K357" s="892">
        <v>0</v>
      </c>
      <c r="L357" s="892">
        <v>0</v>
      </c>
      <c r="M357" s="892">
        <v>0</v>
      </c>
      <c r="N357" s="892">
        <v>0</v>
      </c>
      <c r="O357" s="892">
        <v>0</v>
      </c>
      <c r="P357" s="892">
        <v>0</v>
      </c>
      <c r="Q357" s="892">
        <v>859.08552899999995</v>
      </c>
      <c r="R357" s="892">
        <v>0</v>
      </c>
      <c r="S357" s="892">
        <v>0</v>
      </c>
      <c r="T357" s="892">
        <v>859.08552899999995</v>
      </c>
      <c r="U357" s="892">
        <v>0</v>
      </c>
      <c r="V357" s="892">
        <v>52.029462000000002</v>
      </c>
      <c r="W357" s="892">
        <v>0</v>
      </c>
      <c r="X357" s="901" t="s">
        <v>2650</v>
      </c>
    </row>
    <row r="358" spans="1:24" s="853" customFormat="1">
      <c r="A358" s="899" t="s">
        <v>1984</v>
      </c>
      <c r="B358" s="900" t="s">
        <v>2252</v>
      </c>
      <c r="C358" s="892">
        <v>3785.1772999999998</v>
      </c>
      <c r="D358" s="892">
        <v>680.17729999999995</v>
      </c>
      <c r="E358" s="892">
        <v>0</v>
      </c>
      <c r="F358" s="892">
        <v>3105</v>
      </c>
      <c r="G358" s="892">
        <v>2638.02565</v>
      </c>
      <c r="H358" s="892">
        <v>0</v>
      </c>
      <c r="I358" s="892">
        <v>0</v>
      </c>
      <c r="J358" s="892">
        <v>0</v>
      </c>
      <c r="K358" s="892">
        <v>0</v>
      </c>
      <c r="L358" s="892">
        <v>0</v>
      </c>
      <c r="M358" s="892">
        <v>2516.8456500000002</v>
      </c>
      <c r="N358" s="892">
        <v>0</v>
      </c>
      <c r="O358" s="892">
        <v>0</v>
      </c>
      <c r="P358" s="892">
        <v>0</v>
      </c>
      <c r="Q358" s="892">
        <v>121.18</v>
      </c>
      <c r="R358" s="892">
        <v>0</v>
      </c>
      <c r="S358" s="892">
        <v>0</v>
      </c>
      <c r="T358" s="892">
        <v>121.18</v>
      </c>
      <c r="U358" s="892">
        <v>0</v>
      </c>
      <c r="V358" s="892">
        <v>0</v>
      </c>
      <c r="W358" s="892">
        <v>0</v>
      </c>
      <c r="X358" s="901" t="s">
        <v>2651</v>
      </c>
    </row>
    <row r="359" spans="1:24" s="853" customFormat="1" ht="31.5">
      <c r="A359" s="899" t="s">
        <v>2469</v>
      </c>
      <c r="B359" s="902" t="s">
        <v>2105</v>
      </c>
      <c r="C359" s="892">
        <v>1431.18</v>
      </c>
      <c r="D359" s="892">
        <v>361.18</v>
      </c>
      <c r="E359" s="892">
        <v>0</v>
      </c>
      <c r="F359" s="892">
        <v>1070</v>
      </c>
      <c r="G359" s="892">
        <v>522.36800000000005</v>
      </c>
      <c r="H359" s="892">
        <v>0</v>
      </c>
      <c r="I359" s="892">
        <v>0</v>
      </c>
      <c r="J359" s="892">
        <v>0</v>
      </c>
      <c r="K359" s="892">
        <v>0</v>
      </c>
      <c r="L359" s="892">
        <v>0</v>
      </c>
      <c r="M359" s="892">
        <v>401.18799999999999</v>
      </c>
      <c r="N359" s="892">
        <v>0</v>
      </c>
      <c r="O359" s="892">
        <v>0</v>
      </c>
      <c r="P359" s="892">
        <v>0</v>
      </c>
      <c r="Q359" s="892">
        <v>121.18</v>
      </c>
      <c r="R359" s="892">
        <v>0</v>
      </c>
      <c r="S359" s="892">
        <v>0</v>
      </c>
      <c r="T359" s="892">
        <v>121.18</v>
      </c>
      <c r="U359" s="892">
        <v>0</v>
      </c>
      <c r="V359" s="892">
        <v>0</v>
      </c>
      <c r="W359" s="892">
        <v>0</v>
      </c>
      <c r="X359" s="901" t="s">
        <v>2523</v>
      </c>
    </row>
    <row r="360" spans="1:24" s="853" customFormat="1" ht="31.5">
      <c r="A360" s="899" t="s">
        <v>2469</v>
      </c>
      <c r="B360" s="902" t="s">
        <v>2108</v>
      </c>
      <c r="C360" s="892">
        <v>265</v>
      </c>
      <c r="D360" s="892">
        <v>0</v>
      </c>
      <c r="E360" s="892">
        <v>0</v>
      </c>
      <c r="F360" s="892">
        <v>265</v>
      </c>
      <c r="G360" s="892">
        <v>259.92880000000002</v>
      </c>
      <c r="H360" s="892">
        <v>0</v>
      </c>
      <c r="I360" s="892">
        <v>0</v>
      </c>
      <c r="J360" s="892">
        <v>0</v>
      </c>
      <c r="K360" s="892">
        <v>0</v>
      </c>
      <c r="L360" s="892">
        <v>0</v>
      </c>
      <c r="M360" s="892">
        <v>259.92880000000002</v>
      </c>
      <c r="N360" s="892">
        <v>0</v>
      </c>
      <c r="O360" s="892">
        <v>0</v>
      </c>
      <c r="P360" s="892">
        <v>0</v>
      </c>
      <c r="Q360" s="892">
        <v>0</v>
      </c>
      <c r="R360" s="892">
        <v>0</v>
      </c>
      <c r="S360" s="892">
        <v>0</v>
      </c>
      <c r="T360" s="892">
        <v>0</v>
      </c>
      <c r="U360" s="892">
        <v>0</v>
      </c>
      <c r="V360" s="892">
        <v>0</v>
      </c>
      <c r="W360" s="892">
        <v>0</v>
      </c>
      <c r="X360" s="901" t="s">
        <v>2485</v>
      </c>
    </row>
    <row r="361" spans="1:24" s="853" customFormat="1" ht="31.5">
      <c r="A361" s="899" t="s">
        <v>2469</v>
      </c>
      <c r="B361" s="902" t="s">
        <v>2109</v>
      </c>
      <c r="C361" s="892">
        <v>1338.9973</v>
      </c>
      <c r="D361" s="892">
        <v>18.997299999999999</v>
      </c>
      <c r="E361" s="892">
        <v>0</v>
      </c>
      <c r="F361" s="892">
        <v>1320</v>
      </c>
      <c r="G361" s="892">
        <v>1122.2858000000001</v>
      </c>
      <c r="H361" s="892">
        <v>0</v>
      </c>
      <c r="I361" s="892">
        <v>0</v>
      </c>
      <c r="J361" s="892">
        <v>0</v>
      </c>
      <c r="K361" s="892">
        <v>0</v>
      </c>
      <c r="L361" s="892">
        <v>0</v>
      </c>
      <c r="M361" s="892">
        <v>1122.2858000000001</v>
      </c>
      <c r="N361" s="892">
        <v>0</v>
      </c>
      <c r="O361" s="892">
        <v>0</v>
      </c>
      <c r="P361" s="892">
        <v>0</v>
      </c>
      <c r="Q361" s="892">
        <v>0</v>
      </c>
      <c r="R361" s="892">
        <v>0</v>
      </c>
      <c r="S361" s="892">
        <v>0</v>
      </c>
      <c r="T361" s="892">
        <v>0</v>
      </c>
      <c r="U361" s="892">
        <v>0</v>
      </c>
      <c r="V361" s="892">
        <v>0</v>
      </c>
      <c r="W361" s="892">
        <v>0</v>
      </c>
      <c r="X361" s="901" t="s">
        <v>2652</v>
      </c>
    </row>
    <row r="362" spans="1:24" s="853" customFormat="1">
      <c r="A362" s="899" t="s">
        <v>2469</v>
      </c>
      <c r="B362" s="902" t="s">
        <v>2110</v>
      </c>
      <c r="C362" s="892">
        <v>750</v>
      </c>
      <c r="D362" s="892">
        <v>300</v>
      </c>
      <c r="E362" s="892">
        <v>0</v>
      </c>
      <c r="F362" s="892">
        <v>450</v>
      </c>
      <c r="G362" s="892">
        <v>733.44304999999997</v>
      </c>
      <c r="H362" s="892">
        <v>0</v>
      </c>
      <c r="I362" s="892">
        <v>0</v>
      </c>
      <c r="J362" s="892">
        <v>0</v>
      </c>
      <c r="K362" s="892">
        <v>0</v>
      </c>
      <c r="L362" s="892">
        <v>0</v>
      </c>
      <c r="M362" s="892">
        <v>733.44304999999997</v>
      </c>
      <c r="N362" s="892">
        <v>0</v>
      </c>
      <c r="O362" s="892">
        <v>0</v>
      </c>
      <c r="P362" s="892">
        <v>0</v>
      </c>
      <c r="Q362" s="892">
        <v>0</v>
      </c>
      <c r="R362" s="892">
        <v>0</v>
      </c>
      <c r="S362" s="892">
        <v>0</v>
      </c>
      <c r="T362" s="892">
        <v>0</v>
      </c>
      <c r="U362" s="892">
        <v>0</v>
      </c>
      <c r="V362" s="892">
        <v>0</v>
      </c>
      <c r="W362" s="892">
        <v>0</v>
      </c>
      <c r="X362" s="901" t="s">
        <v>2653</v>
      </c>
    </row>
    <row r="363" spans="1:24" s="853" customFormat="1">
      <c r="A363" s="899" t="s">
        <v>1985</v>
      </c>
      <c r="B363" s="900" t="s">
        <v>1725</v>
      </c>
      <c r="C363" s="892">
        <v>750</v>
      </c>
      <c r="D363" s="892">
        <v>0</v>
      </c>
      <c r="E363" s="892">
        <v>0</v>
      </c>
      <c r="F363" s="892">
        <v>750</v>
      </c>
      <c r="G363" s="892">
        <v>749.19844699999999</v>
      </c>
      <c r="H363" s="892">
        <v>0</v>
      </c>
      <c r="I363" s="892">
        <v>0</v>
      </c>
      <c r="J363" s="892">
        <v>0</v>
      </c>
      <c r="K363" s="892">
        <v>0</v>
      </c>
      <c r="L363" s="892">
        <v>0</v>
      </c>
      <c r="M363" s="892">
        <v>0</v>
      </c>
      <c r="N363" s="892">
        <v>0</v>
      </c>
      <c r="O363" s="892">
        <v>0</v>
      </c>
      <c r="P363" s="892">
        <v>749.19844699999999</v>
      </c>
      <c r="Q363" s="892">
        <v>0</v>
      </c>
      <c r="R363" s="892">
        <v>0</v>
      </c>
      <c r="S363" s="892">
        <v>0</v>
      </c>
      <c r="T363" s="892">
        <v>0</v>
      </c>
      <c r="U363" s="892">
        <v>0</v>
      </c>
      <c r="V363" s="892">
        <v>0</v>
      </c>
      <c r="W363" s="892">
        <v>0</v>
      </c>
      <c r="X363" s="901" t="s">
        <v>2482</v>
      </c>
    </row>
    <row r="364" spans="1:24" s="853" customFormat="1" ht="31.5">
      <c r="A364" s="899" t="s">
        <v>2469</v>
      </c>
      <c r="B364" s="902" t="s">
        <v>2113</v>
      </c>
      <c r="C364" s="892">
        <v>200</v>
      </c>
      <c r="D364" s="892">
        <v>0</v>
      </c>
      <c r="E364" s="892">
        <v>0</v>
      </c>
      <c r="F364" s="892">
        <v>200</v>
      </c>
      <c r="G364" s="892">
        <v>199.19844699999999</v>
      </c>
      <c r="H364" s="892">
        <v>0</v>
      </c>
      <c r="I364" s="892">
        <v>0</v>
      </c>
      <c r="J364" s="892">
        <v>0</v>
      </c>
      <c r="K364" s="892">
        <v>0</v>
      </c>
      <c r="L364" s="892">
        <v>0</v>
      </c>
      <c r="M364" s="892">
        <v>0</v>
      </c>
      <c r="N364" s="892">
        <v>0</v>
      </c>
      <c r="O364" s="892">
        <v>0</v>
      </c>
      <c r="P364" s="892">
        <v>199.19844699999999</v>
      </c>
      <c r="Q364" s="892">
        <v>0</v>
      </c>
      <c r="R364" s="892">
        <v>0</v>
      </c>
      <c r="S364" s="892">
        <v>0</v>
      </c>
      <c r="T364" s="892">
        <v>0</v>
      </c>
      <c r="U364" s="892">
        <v>0</v>
      </c>
      <c r="V364" s="892">
        <v>0</v>
      </c>
      <c r="W364" s="892">
        <v>0</v>
      </c>
      <c r="X364" s="901" t="s">
        <v>2654</v>
      </c>
    </row>
    <row r="365" spans="1:24" s="853" customFormat="1" ht="31.5">
      <c r="A365" s="899" t="s">
        <v>2469</v>
      </c>
      <c r="B365" s="902" t="s">
        <v>2115</v>
      </c>
      <c r="C365" s="892">
        <v>550</v>
      </c>
      <c r="D365" s="892">
        <v>0</v>
      </c>
      <c r="E365" s="892">
        <v>0</v>
      </c>
      <c r="F365" s="892">
        <v>550</v>
      </c>
      <c r="G365" s="892">
        <v>550</v>
      </c>
      <c r="H365" s="892">
        <v>0</v>
      </c>
      <c r="I365" s="892">
        <v>0</v>
      </c>
      <c r="J365" s="892">
        <v>0</v>
      </c>
      <c r="K365" s="892">
        <v>0</v>
      </c>
      <c r="L365" s="892">
        <v>0</v>
      </c>
      <c r="M365" s="892">
        <v>0</v>
      </c>
      <c r="N365" s="892">
        <v>0</v>
      </c>
      <c r="O365" s="892">
        <v>0</v>
      </c>
      <c r="P365" s="892">
        <v>550</v>
      </c>
      <c r="Q365" s="892">
        <v>0</v>
      </c>
      <c r="R365" s="892">
        <v>0</v>
      </c>
      <c r="S365" s="892">
        <v>0</v>
      </c>
      <c r="T365" s="892">
        <v>0</v>
      </c>
      <c r="U365" s="892">
        <v>0</v>
      </c>
      <c r="V365" s="892">
        <v>0</v>
      </c>
      <c r="W365" s="892">
        <v>0</v>
      </c>
      <c r="X365" s="901" t="s">
        <v>2243</v>
      </c>
    </row>
    <row r="366" spans="1:24" s="853" customFormat="1">
      <c r="A366" s="899" t="s">
        <v>1986</v>
      </c>
      <c r="B366" s="900" t="s">
        <v>2253</v>
      </c>
      <c r="C366" s="892">
        <v>15370</v>
      </c>
      <c r="D366" s="892">
        <v>3440</v>
      </c>
      <c r="E366" s="892">
        <v>0</v>
      </c>
      <c r="F366" s="892">
        <v>11930</v>
      </c>
      <c r="G366" s="892">
        <v>13456.289940000001</v>
      </c>
      <c r="H366" s="892">
        <v>82.343000000000004</v>
      </c>
      <c r="I366" s="892">
        <v>0</v>
      </c>
      <c r="J366" s="892">
        <v>0</v>
      </c>
      <c r="K366" s="892">
        <v>0</v>
      </c>
      <c r="L366" s="892">
        <v>0</v>
      </c>
      <c r="M366" s="892">
        <v>10740.2791</v>
      </c>
      <c r="N366" s="892">
        <v>2633.6678400000001</v>
      </c>
      <c r="O366" s="892">
        <v>0</v>
      </c>
      <c r="P366" s="892">
        <v>0</v>
      </c>
      <c r="Q366" s="892">
        <v>0</v>
      </c>
      <c r="R366" s="892">
        <v>0</v>
      </c>
      <c r="S366" s="892">
        <v>0</v>
      </c>
      <c r="T366" s="892">
        <v>0</v>
      </c>
      <c r="U366" s="892">
        <v>0</v>
      </c>
      <c r="V366" s="892">
        <v>0</v>
      </c>
      <c r="W366" s="892">
        <v>0</v>
      </c>
      <c r="X366" s="901" t="s">
        <v>2655</v>
      </c>
    </row>
    <row r="367" spans="1:24" s="853" customFormat="1" ht="31.5">
      <c r="A367" s="899" t="s">
        <v>2469</v>
      </c>
      <c r="B367" s="902" t="s">
        <v>2117</v>
      </c>
      <c r="C367" s="892">
        <v>126.5</v>
      </c>
      <c r="D367" s="892">
        <v>0</v>
      </c>
      <c r="E367" s="892">
        <v>0</v>
      </c>
      <c r="F367" s="892">
        <v>126.5</v>
      </c>
      <c r="G367" s="892">
        <v>103.47750000000001</v>
      </c>
      <c r="H367" s="892">
        <v>0</v>
      </c>
      <c r="I367" s="892">
        <v>0</v>
      </c>
      <c r="J367" s="892">
        <v>0</v>
      </c>
      <c r="K367" s="892">
        <v>0</v>
      </c>
      <c r="L367" s="892">
        <v>0</v>
      </c>
      <c r="M367" s="892">
        <v>103.47750000000001</v>
      </c>
      <c r="N367" s="892">
        <v>0</v>
      </c>
      <c r="O367" s="892">
        <v>0</v>
      </c>
      <c r="P367" s="892">
        <v>0</v>
      </c>
      <c r="Q367" s="892">
        <v>0</v>
      </c>
      <c r="R367" s="892">
        <v>0</v>
      </c>
      <c r="S367" s="892">
        <v>0</v>
      </c>
      <c r="T367" s="892">
        <v>0</v>
      </c>
      <c r="U367" s="892">
        <v>0</v>
      </c>
      <c r="V367" s="892">
        <v>0</v>
      </c>
      <c r="W367" s="892">
        <v>0</v>
      </c>
      <c r="X367" s="901" t="s">
        <v>2656</v>
      </c>
    </row>
    <row r="368" spans="1:24" s="853" customFormat="1" ht="31.5">
      <c r="A368" s="899" t="s">
        <v>2469</v>
      </c>
      <c r="B368" s="902" t="s">
        <v>2118</v>
      </c>
      <c r="C368" s="892">
        <v>15243.5</v>
      </c>
      <c r="D368" s="892">
        <v>3440</v>
      </c>
      <c r="E368" s="892">
        <v>0</v>
      </c>
      <c r="F368" s="892">
        <v>11803.5</v>
      </c>
      <c r="G368" s="892">
        <v>13352.81244</v>
      </c>
      <c r="H368" s="892">
        <v>82.343000000000004</v>
      </c>
      <c r="I368" s="892">
        <v>0</v>
      </c>
      <c r="J368" s="892">
        <v>0</v>
      </c>
      <c r="K368" s="892">
        <v>0</v>
      </c>
      <c r="L368" s="892">
        <v>0</v>
      </c>
      <c r="M368" s="892">
        <v>10636.801600000001</v>
      </c>
      <c r="N368" s="892">
        <v>2633.6678400000001</v>
      </c>
      <c r="O368" s="892">
        <v>0</v>
      </c>
      <c r="P368" s="892">
        <v>0</v>
      </c>
      <c r="Q368" s="892">
        <v>0</v>
      </c>
      <c r="R368" s="892">
        <v>0</v>
      </c>
      <c r="S368" s="892">
        <v>0</v>
      </c>
      <c r="T368" s="892">
        <v>0</v>
      </c>
      <c r="U368" s="892">
        <v>0</v>
      </c>
      <c r="V368" s="892">
        <v>0</v>
      </c>
      <c r="W368" s="892">
        <v>0</v>
      </c>
      <c r="X368" s="901" t="s">
        <v>2657</v>
      </c>
    </row>
    <row r="369" spans="1:24" s="853" customFormat="1">
      <c r="A369" s="899" t="s">
        <v>1987</v>
      </c>
      <c r="B369" s="900" t="s">
        <v>2491</v>
      </c>
      <c r="C369" s="892">
        <v>300</v>
      </c>
      <c r="D369" s="892">
        <v>0</v>
      </c>
      <c r="E369" s="892">
        <v>200</v>
      </c>
      <c r="F369" s="892">
        <v>100</v>
      </c>
      <c r="G369" s="892">
        <v>297.23200000000003</v>
      </c>
      <c r="H369" s="892">
        <v>0</v>
      </c>
      <c r="I369" s="892">
        <v>0</v>
      </c>
      <c r="J369" s="892">
        <v>0</v>
      </c>
      <c r="K369" s="892">
        <v>0</v>
      </c>
      <c r="L369" s="892">
        <v>0</v>
      </c>
      <c r="M369" s="892">
        <v>200</v>
      </c>
      <c r="N369" s="892">
        <v>0</v>
      </c>
      <c r="O369" s="892">
        <v>0</v>
      </c>
      <c r="P369" s="892">
        <v>0</v>
      </c>
      <c r="Q369" s="892">
        <v>97.231999999999999</v>
      </c>
      <c r="R369" s="892">
        <v>0</v>
      </c>
      <c r="S369" s="892">
        <v>0</v>
      </c>
      <c r="T369" s="892">
        <v>97.231999999999999</v>
      </c>
      <c r="U369" s="892">
        <v>0</v>
      </c>
      <c r="V369" s="892">
        <v>0</v>
      </c>
      <c r="W369" s="892">
        <v>0</v>
      </c>
      <c r="X369" s="901" t="s">
        <v>2658</v>
      </c>
    </row>
    <row r="370" spans="1:24" s="853" customFormat="1" ht="31.5">
      <c r="A370" s="899" t="s">
        <v>2469</v>
      </c>
      <c r="B370" s="902" t="s">
        <v>2125</v>
      </c>
      <c r="C370" s="892">
        <v>300</v>
      </c>
      <c r="D370" s="892">
        <v>0</v>
      </c>
      <c r="E370" s="892">
        <v>200</v>
      </c>
      <c r="F370" s="892">
        <v>100</v>
      </c>
      <c r="G370" s="892">
        <v>297.23200000000003</v>
      </c>
      <c r="H370" s="892">
        <v>0</v>
      </c>
      <c r="I370" s="892">
        <v>0</v>
      </c>
      <c r="J370" s="892">
        <v>0</v>
      </c>
      <c r="K370" s="892">
        <v>0</v>
      </c>
      <c r="L370" s="892">
        <v>0</v>
      </c>
      <c r="M370" s="892">
        <v>200</v>
      </c>
      <c r="N370" s="892">
        <v>0</v>
      </c>
      <c r="O370" s="892">
        <v>0</v>
      </c>
      <c r="P370" s="892">
        <v>0</v>
      </c>
      <c r="Q370" s="892">
        <v>97.231999999999999</v>
      </c>
      <c r="R370" s="892">
        <v>0</v>
      </c>
      <c r="S370" s="892">
        <v>0</v>
      </c>
      <c r="T370" s="892">
        <v>97.231999999999999</v>
      </c>
      <c r="U370" s="892">
        <v>0</v>
      </c>
      <c r="V370" s="892">
        <v>0</v>
      </c>
      <c r="W370" s="892">
        <v>0</v>
      </c>
      <c r="X370" s="901" t="s">
        <v>2658</v>
      </c>
    </row>
    <row r="371" spans="1:24" s="853" customFormat="1">
      <c r="A371" s="899" t="s">
        <v>1988</v>
      </c>
      <c r="B371" s="900" t="s">
        <v>1694</v>
      </c>
      <c r="C371" s="892">
        <v>6356.0173999999997</v>
      </c>
      <c r="D371" s="892">
        <v>2047.0174</v>
      </c>
      <c r="E371" s="892">
        <v>0</v>
      </c>
      <c r="F371" s="892">
        <v>4309</v>
      </c>
      <c r="G371" s="892">
        <v>3710.6187500000001</v>
      </c>
      <c r="H371" s="892">
        <v>436.96499999999997</v>
      </c>
      <c r="I371" s="892">
        <v>0</v>
      </c>
      <c r="J371" s="892">
        <v>0</v>
      </c>
      <c r="K371" s="892">
        <v>0</v>
      </c>
      <c r="L371" s="892">
        <v>0</v>
      </c>
      <c r="M371" s="892">
        <v>1568.88975</v>
      </c>
      <c r="N371" s="892">
        <v>0</v>
      </c>
      <c r="O371" s="892">
        <v>0</v>
      </c>
      <c r="P371" s="892">
        <v>0</v>
      </c>
      <c r="Q371" s="892">
        <v>681.13900000000001</v>
      </c>
      <c r="R371" s="892">
        <v>0</v>
      </c>
      <c r="S371" s="892">
        <v>0</v>
      </c>
      <c r="T371" s="892">
        <v>681.13900000000001</v>
      </c>
      <c r="U371" s="892">
        <v>0</v>
      </c>
      <c r="V371" s="892">
        <v>1023.625</v>
      </c>
      <c r="W371" s="892">
        <v>0</v>
      </c>
      <c r="X371" s="901" t="s">
        <v>2659</v>
      </c>
    </row>
    <row r="372" spans="1:24" s="853" customFormat="1">
      <c r="A372" s="899" t="s">
        <v>2469</v>
      </c>
      <c r="B372" s="902" t="s">
        <v>2126</v>
      </c>
      <c r="C372" s="892">
        <v>6356.0173999999997</v>
      </c>
      <c r="D372" s="892">
        <v>2047.0174</v>
      </c>
      <c r="E372" s="892">
        <v>0</v>
      </c>
      <c r="F372" s="892">
        <v>4309</v>
      </c>
      <c r="G372" s="892">
        <v>3710.6187500000001</v>
      </c>
      <c r="H372" s="892">
        <v>436.96499999999997</v>
      </c>
      <c r="I372" s="892">
        <v>0</v>
      </c>
      <c r="J372" s="892">
        <v>0</v>
      </c>
      <c r="K372" s="892">
        <v>0</v>
      </c>
      <c r="L372" s="892">
        <v>0</v>
      </c>
      <c r="M372" s="892">
        <v>1568.88975</v>
      </c>
      <c r="N372" s="892">
        <v>0</v>
      </c>
      <c r="O372" s="892">
        <v>0</v>
      </c>
      <c r="P372" s="892">
        <v>0</v>
      </c>
      <c r="Q372" s="892">
        <v>681.13900000000001</v>
      </c>
      <c r="R372" s="892">
        <v>0</v>
      </c>
      <c r="S372" s="892">
        <v>0</v>
      </c>
      <c r="T372" s="892">
        <v>681.13900000000001</v>
      </c>
      <c r="U372" s="892">
        <v>0</v>
      </c>
      <c r="V372" s="892">
        <v>1023.625</v>
      </c>
      <c r="W372" s="892">
        <v>0</v>
      </c>
      <c r="X372" s="901" t="s">
        <v>2659</v>
      </c>
    </row>
    <row r="373" spans="1:24" s="853" customFormat="1">
      <c r="A373" s="899" t="s">
        <v>2487</v>
      </c>
      <c r="B373" s="900" t="s">
        <v>2255</v>
      </c>
      <c r="C373" s="892">
        <v>250</v>
      </c>
      <c r="D373" s="892">
        <v>0</v>
      </c>
      <c r="E373" s="892">
        <v>0</v>
      </c>
      <c r="F373" s="892">
        <v>250</v>
      </c>
      <c r="G373" s="892">
        <v>250</v>
      </c>
      <c r="H373" s="892">
        <v>50</v>
      </c>
      <c r="I373" s="892">
        <v>0</v>
      </c>
      <c r="J373" s="892">
        <v>0</v>
      </c>
      <c r="K373" s="892">
        <v>0</v>
      </c>
      <c r="L373" s="892">
        <v>0</v>
      </c>
      <c r="M373" s="892">
        <v>0</v>
      </c>
      <c r="N373" s="892">
        <v>0</v>
      </c>
      <c r="O373" s="892">
        <v>0</v>
      </c>
      <c r="P373" s="892">
        <v>0</v>
      </c>
      <c r="Q373" s="892">
        <v>0</v>
      </c>
      <c r="R373" s="892">
        <v>0</v>
      </c>
      <c r="S373" s="892">
        <v>0</v>
      </c>
      <c r="T373" s="892">
        <v>0</v>
      </c>
      <c r="U373" s="892">
        <v>200</v>
      </c>
      <c r="V373" s="892">
        <v>0</v>
      </c>
      <c r="W373" s="892">
        <v>0</v>
      </c>
      <c r="X373" s="901" t="s">
        <v>2243</v>
      </c>
    </row>
    <row r="374" spans="1:24" s="853" customFormat="1" ht="31.5">
      <c r="A374" s="899" t="s">
        <v>2469</v>
      </c>
      <c r="B374" s="902" t="s">
        <v>2128</v>
      </c>
      <c r="C374" s="892">
        <v>250</v>
      </c>
      <c r="D374" s="892">
        <v>0</v>
      </c>
      <c r="E374" s="892">
        <v>0</v>
      </c>
      <c r="F374" s="892">
        <v>250</v>
      </c>
      <c r="G374" s="892">
        <v>250</v>
      </c>
      <c r="H374" s="892">
        <v>50</v>
      </c>
      <c r="I374" s="892">
        <v>0</v>
      </c>
      <c r="J374" s="892">
        <v>0</v>
      </c>
      <c r="K374" s="892">
        <v>0</v>
      </c>
      <c r="L374" s="892">
        <v>0</v>
      </c>
      <c r="M374" s="892">
        <v>0</v>
      </c>
      <c r="N374" s="892">
        <v>0</v>
      </c>
      <c r="O374" s="892">
        <v>0</v>
      </c>
      <c r="P374" s="892">
        <v>0</v>
      </c>
      <c r="Q374" s="892">
        <v>0</v>
      </c>
      <c r="R374" s="892">
        <v>0</v>
      </c>
      <c r="S374" s="892">
        <v>0</v>
      </c>
      <c r="T374" s="892">
        <v>0</v>
      </c>
      <c r="U374" s="892">
        <v>200</v>
      </c>
      <c r="V374" s="892">
        <v>0</v>
      </c>
      <c r="W374" s="892">
        <v>0</v>
      </c>
      <c r="X374" s="901" t="s">
        <v>2243</v>
      </c>
    </row>
    <row r="375" spans="1:24" s="853" customFormat="1">
      <c r="A375" s="899" t="s">
        <v>2488</v>
      </c>
      <c r="B375" s="900" t="s">
        <v>2496</v>
      </c>
      <c r="C375" s="892">
        <v>330</v>
      </c>
      <c r="D375" s="892">
        <v>0</v>
      </c>
      <c r="E375" s="892">
        <v>0</v>
      </c>
      <c r="F375" s="892">
        <v>330</v>
      </c>
      <c r="G375" s="892">
        <v>330</v>
      </c>
      <c r="H375" s="892">
        <v>130</v>
      </c>
      <c r="I375" s="892">
        <v>0</v>
      </c>
      <c r="J375" s="892">
        <v>0</v>
      </c>
      <c r="K375" s="892">
        <v>0</v>
      </c>
      <c r="L375" s="892">
        <v>0</v>
      </c>
      <c r="M375" s="892">
        <v>100</v>
      </c>
      <c r="N375" s="892">
        <v>0</v>
      </c>
      <c r="O375" s="892">
        <v>0</v>
      </c>
      <c r="P375" s="892">
        <v>0</v>
      </c>
      <c r="Q375" s="892">
        <v>0</v>
      </c>
      <c r="R375" s="892">
        <v>0</v>
      </c>
      <c r="S375" s="892">
        <v>0</v>
      </c>
      <c r="T375" s="892">
        <v>0</v>
      </c>
      <c r="U375" s="892">
        <v>100</v>
      </c>
      <c r="V375" s="892">
        <v>0</v>
      </c>
      <c r="W375" s="892">
        <v>0</v>
      </c>
      <c r="X375" s="901" t="s">
        <v>2243</v>
      </c>
    </row>
    <row r="376" spans="1:24" s="853" customFormat="1" ht="31.5">
      <c r="A376" s="899" t="s">
        <v>2469</v>
      </c>
      <c r="B376" s="902" t="s">
        <v>2130</v>
      </c>
      <c r="C376" s="892">
        <v>330</v>
      </c>
      <c r="D376" s="892">
        <v>0</v>
      </c>
      <c r="E376" s="892">
        <v>0</v>
      </c>
      <c r="F376" s="892">
        <v>330</v>
      </c>
      <c r="G376" s="892">
        <v>330</v>
      </c>
      <c r="H376" s="892">
        <v>130</v>
      </c>
      <c r="I376" s="892">
        <v>0</v>
      </c>
      <c r="J376" s="892">
        <v>0</v>
      </c>
      <c r="K376" s="892">
        <v>0</v>
      </c>
      <c r="L376" s="892">
        <v>0</v>
      </c>
      <c r="M376" s="892">
        <v>100</v>
      </c>
      <c r="N376" s="892">
        <v>0</v>
      </c>
      <c r="O376" s="892">
        <v>0</v>
      </c>
      <c r="P376" s="892">
        <v>0</v>
      </c>
      <c r="Q376" s="892">
        <v>0</v>
      </c>
      <c r="R376" s="892">
        <v>0</v>
      </c>
      <c r="S376" s="892">
        <v>0</v>
      </c>
      <c r="T376" s="892">
        <v>0</v>
      </c>
      <c r="U376" s="892">
        <v>100</v>
      </c>
      <c r="V376" s="892">
        <v>0</v>
      </c>
      <c r="W376" s="892">
        <v>0</v>
      </c>
      <c r="X376" s="901" t="s">
        <v>2243</v>
      </c>
    </row>
    <row r="377" spans="1:24" s="853" customFormat="1">
      <c r="A377" s="899" t="s">
        <v>2489</v>
      </c>
      <c r="B377" s="900" t="s">
        <v>1665</v>
      </c>
      <c r="C377" s="892">
        <v>6029.0870000000004</v>
      </c>
      <c r="D377" s="892">
        <v>1071.087</v>
      </c>
      <c r="E377" s="892">
        <v>0</v>
      </c>
      <c r="F377" s="892">
        <v>4958</v>
      </c>
      <c r="G377" s="892">
        <v>4697.3577699999996</v>
      </c>
      <c r="H377" s="892">
        <v>155.34</v>
      </c>
      <c r="I377" s="892">
        <v>0</v>
      </c>
      <c r="J377" s="892">
        <v>0</v>
      </c>
      <c r="K377" s="892">
        <v>0</v>
      </c>
      <c r="L377" s="892">
        <v>0</v>
      </c>
      <c r="M377" s="892">
        <v>99.924999999999997</v>
      </c>
      <c r="N377" s="892">
        <v>0</v>
      </c>
      <c r="O377" s="892">
        <v>0</v>
      </c>
      <c r="P377" s="892">
        <v>0</v>
      </c>
      <c r="Q377" s="892">
        <v>1071.087</v>
      </c>
      <c r="R377" s="892">
        <v>0</v>
      </c>
      <c r="S377" s="892">
        <v>0</v>
      </c>
      <c r="T377" s="892">
        <v>1071.087</v>
      </c>
      <c r="U377" s="892">
        <v>150</v>
      </c>
      <c r="V377" s="892">
        <v>3221.0057700000002</v>
      </c>
      <c r="W377" s="892">
        <v>0</v>
      </c>
      <c r="X377" s="901" t="s">
        <v>2660</v>
      </c>
    </row>
    <row r="378" spans="1:24" s="853" customFormat="1" ht="31.5">
      <c r="A378" s="899" t="s">
        <v>2469</v>
      </c>
      <c r="B378" s="902" t="s">
        <v>2133</v>
      </c>
      <c r="C378" s="892">
        <v>6029.0870000000004</v>
      </c>
      <c r="D378" s="892">
        <v>1071.087</v>
      </c>
      <c r="E378" s="892">
        <v>0</v>
      </c>
      <c r="F378" s="892">
        <v>4958</v>
      </c>
      <c r="G378" s="892">
        <v>4697.3577699999996</v>
      </c>
      <c r="H378" s="892">
        <v>155.34</v>
      </c>
      <c r="I378" s="892">
        <v>0</v>
      </c>
      <c r="J378" s="892">
        <v>0</v>
      </c>
      <c r="K378" s="892">
        <v>0</v>
      </c>
      <c r="L378" s="892">
        <v>0</v>
      </c>
      <c r="M378" s="892">
        <v>99.924999999999997</v>
      </c>
      <c r="N378" s="892">
        <v>0</v>
      </c>
      <c r="O378" s="892">
        <v>0</v>
      </c>
      <c r="P378" s="892">
        <v>0</v>
      </c>
      <c r="Q378" s="892">
        <v>1071.087</v>
      </c>
      <c r="R378" s="892">
        <v>0</v>
      </c>
      <c r="S378" s="892">
        <v>0</v>
      </c>
      <c r="T378" s="892">
        <v>1071.087</v>
      </c>
      <c r="U378" s="892">
        <v>150</v>
      </c>
      <c r="V378" s="892">
        <v>3221.0057700000002</v>
      </c>
      <c r="W378" s="892">
        <v>0</v>
      </c>
      <c r="X378" s="901" t="s">
        <v>2660</v>
      </c>
    </row>
    <row r="379" spans="1:24" s="853" customFormat="1">
      <c r="A379" s="899" t="s">
        <v>2490</v>
      </c>
      <c r="B379" s="900" t="s">
        <v>1960</v>
      </c>
      <c r="C379" s="892">
        <v>280</v>
      </c>
      <c r="D379" s="892">
        <v>0</v>
      </c>
      <c r="E379" s="892">
        <v>0</v>
      </c>
      <c r="F379" s="892">
        <v>280</v>
      </c>
      <c r="G379" s="892">
        <v>278.11399999999998</v>
      </c>
      <c r="H379" s="892">
        <v>129.13900000000001</v>
      </c>
      <c r="I379" s="892">
        <v>0</v>
      </c>
      <c r="J379" s="892">
        <v>0</v>
      </c>
      <c r="K379" s="892">
        <v>0</v>
      </c>
      <c r="L379" s="892">
        <v>0</v>
      </c>
      <c r="M379" s="892">
        <v>0</v>
      </c>
      <c r="N379" s="892">
        <v>0</v>
      </c>
      <c r="O379" s="892">
        <v>0</v>
      </c>
      <c r="P379" s="892">
        <v>0</v>
      </c>
      <c r="Q379" s="892">
        <v>0</v>
      </c>
      <c r="R379" s="892">
        <v>0</v>
      </c>
      <c r="S379" s="892">
        <v>0</v>
      </c>
      <c r="T379" s="892">
        <v>0</v>
      </c>
      <c r="U379" s="892">
        <v>148.97499999999999</v>
      </c>
      <c r="V379" s="892">
        <v>0</v>
      </c>
      <c r="W379" s="892">
        <v>0</v>
      </c>
      <c r="X379" s="901" t="s">
        <v>2661</v>
      </c>
    </row>
    <row r="380" spans="1:24" s="853" customFormat="1">
      <c r="A380" s="899" t="s">
        <v>2469</v>
      </c>
      <c r="B380" s="902" t="s">
        <v>2134</v>
      </c>
      <c r="C380" s="892">
        <v>280</v>
      </c>
      <c r="D380" s="892">
        <v>0</v>
      </c>
      <c r="E380" s="892">
        <v>0</v>
      </c>
      <c r="F380" s="892">
        <v>280</v>
      </c>
      <c r="G380" s="892">
        <v>278.11399999999998</v>
      </c>
      <c r="H380" s="892">
        <v>129.13900000000001</v>
      </c>
      <c r="I380" s="892">
        <v>0</v>
      </c>
      <c r="J380" s="892">
        <v>0</v>
      </c>
      <c r="K380" s="892">
        <v>0</v>
      </c>
      <c r="L380" s="892">
        <v>0</v>
      </c>
      <c r="M380" s="892">
        <v>0</v>
      </c>
      <c r="N380" s="892">
        <v>0</v>
      </c>
      <c r="O380" s="892">
        <v>0</v>
      </c>
      <c r="P380" s="892">
        <v>0</v>
      </c>
      <c r="Q380" s="892">
        <v>0</v>
      </c>
      <c r="R380" s="892">
        <v>0</v>
      </c>
      <c r="S380" s="892">
        <v>0</v>
      </c>
      <c r="T380" s="892">
        <v>0</v>
      </c>
      <c r="U380" s="892">
        <v>148.97499999999999</v>
      </c>
      <c r="V380" s="892">
        <v>0</v>
      </c>
      <c r="W380" s="892">
        <v>0</v>
      </c>
      <c r="X380" s="901" t="s">
        <v>2661</v>
      </c>
    </row>
    <row r="381" spans="1:24" s="853" customFormat="1">
      <c r="A381" s="899" t="s">
        <v>2492</v>
      </c>
      <c r="B381" s="900" t="s">
        <v>2192</v>
      </c>
      <c r="C381" s="892">
        <v>200</v>
      </c>
      <c r="D381" s="892">
        <v>0</v>
      </c>
      <c r="E381" s="892">
        <v>0</v>
      </c>
      <c r="F381" s="892">
        <v>200</v>
      </c>
      <c r="G381" s="892">
        <v>200</v>
      </c>
      <c r="H381" s="892">
        <v>100</v>
      </c>
      <c r="I381" s="892">
        <v>0</v>
      </c>
      <c r="J381" s="892">
        <v>0</v>
      </c>
      <c r="K381" s="892">
        <v>0</v>
      </c>
      <c r="L381" s="892">
        <v>0</v>
      </c>
      <c r="M381" s="892">
        <v>100</v>
      </c>
      <c r="N381" s="892">
        <v>0</v>
      </c>
      <c r="O381" s="892">
        <v>0</v>
      </c>
      <c r="P381" s="892">
        <v>0</v>
      </c>
      <c r="Q381" s="892">
        <v>0</v>
      </c>
      <c r="R381" s="892">
        <v>0</v>
      </c>
      <c r="S381" s="892">
        <v>0</v>
      </c>
      <c r="T381" s="892">
        <v>0</v>
      </c>
      <c r="U381" s="892">
        <v>0</v>
      </c>
      <c r="V381" s="892">
        <v>0</v>
      </c>
      <c r="W381" s="892">
        <v>0</v>
      </c>
      <c r="X381" s="901" t="s">
        <v>2243</v>
      </c>
    </row>
    <row r="382" spans="1:24" s="853" customFormat="1" ht="31.5">
      <c r="A382" s="899" t="s">
        <v>2469</v>
      </c>
      <c r="B382" s="902" t="s">
        <v>2135</v>
      </c>
      <c r="C382" s="892">
        <v>200</v>
      </c>
      <c r="D382" s="892">
        <v>0</v>
      </c>
      <c r="E382" s="892">
        <v>0</v>
      </c>
      <c r="F382" s="892">
        <v>200</v>
      </c>
      <c r="G382" s="892">
        <v>200</v>
      </c>
      <c r="H382" s="892">
        <v>100</v>
      </c>
      <c r="I382" s="892">
        <v>0</v>
      </c>
      <c r="J382" s="892">
        <v>0</v>
      </c>
      <c r="K382" s="892">
        <v>0</v>
      </c>
      <c r="L382" s="892">
        <v>0</v>
      </c>
      <c r="M382" s="892">
        <v>100</v>
      </c>
      <c r="N382" s="892">
        <v>0</v>
      </c>
      <c r="O382" s="892">
        <v>0</v>
      </c>
      <c r="P382" s="892">
        <v>0</v>
      </c>
      <c r="Q382" s="892">
        <v>0</v>
      </c>
      <c r="R382" s="892">
        <v>0</v>
      </c>
      <c r="S382" s="892">
        <v>0</v>
      </c>
      <c r="T382" s="892">
        <v>0</v>
      </c>
      <c r="U382" s="892">
        <v>0</v>
      </c>
      <c r="V382" s="892">
        <v>0</v>
      </c>
      <c r="W382" s="892">
        <v>0</v>
      </c>
      <c r="X382" s="901" t="s">
        <v>2243</v>
      </c>
    </row>
    <row r="383" spans="1:24" s="853" customFormat="1">
      <c r="A383" s="899" t="s">
        <v>2493</v>
      </c>
      <c r="B383" s="900" t="s">
        <v>2520</v>
      </c>
      <c r="C383" s="892">
        <v>6387.7280000000001</v>
      </c>
      <c r="D383" s="892">
        <v>1771.7280000000001</v>
      </c>
      <c r="E383" s="892">
        <v>0</v>
      </c>
      <c r="F383" s="892">
        <v>4616</v>
      </c>
      <c r="G383" s="892">
        <v>6239.9705999999996</v>
      </c>
      <c r="H383" s="892">
        <v>5609.9705999999996</v>
      </c>
      <c r="I383" s="892">
        <v>0</v>
      </c>
      <c r="J383" s="892">
        <v>0</v>
      </c>
      <c r="K383" s="892">
        <v>630</v>
      </c>
      <c r="L383" s="892">
        <v>0</v>
      </c>
      <c r="M383" s="892">
        <v>0</v>
      </c>
      <c r="N383" s="892">
        <v>0</v>
      </c>
      <c r="O383" s="892">
        <v>0</v>
      </c>
      <c r="P383" s="892">
        <v>0</v>
      </c>
      <c r="Q383" s="892">
        <v>0</v>
      </c>
      <c r="R383" s="892">
        <v>0</v>
      </c>
      <c r="S383" s="892">
        <v>0</v>
      </c>
      <c r="T383" s="892">
        <v>0</v>
      </c>
      <c r="U383" s="892">
        <v>0</v>
      </c>
      <c r="V383" s="892">
        <v>0</v>
      </c>
      <c r="W383" s="892">
        <v>0</v>
      </c>
      <c r="X383" s="901" t="s">
        <v>2662</v>
      </c>
    </row>
    <row r="384" spans="1:24" s="853" customFormat="1" ht="31.5">
      <c r="A384" s="899" t="s">
        <v>2469</v>
      </c>
      <c r="B384" s="902" t="s">
        <v>2149</v>
      </c>
      <c r="C384" s="892">
        <v>1411.7280000000001</v>
      </c>
      <c r="D384" s="892">
        <v>11.728</v>
      </c>
      <c r="E384" s="892">
        <v>0</v>
      </c>
      <c r="F384" s="892">
        <v>1400</v>
      </c>
      <c r="G384" s="892">
        <v>1387.2234000000001</v>
      </c>
      <c r="H384" s="892">
        <v>1387.2234000000001</v>
      </c>
      <c r="I384" s="892">
        <v>0</v>
      </c>
      <c r="J384" s="892">
        <v>0</v>
      </c>
      <c r="K384" s="892">
        <v>0</v>
      </c>
      <c r="L384" s="892">
        <v>0</v>
      </c>
      <c r="M384" s="892">
        <v>0</v>
      </c>
      <c r="N384" s="892">
        <v>0</v>
      </c>
      <c r="O384" s="892">
        <v>0</v>
      </c>
      <c r="P384" s="892">
        <v>0</v>
      </c>
      <c r="Q384" s="892">
        <v>0</v>
      </c>
      <c r="R384" s="892">
        <v>0</v>
      </c>
      <c r="S384" s="892">
        <v>0</v>
      </c>
      <c r="T384" s="892">
        <v>0</v>
      </c>
      <c r="U384" s="892">
        <v>0</v>
      </c>
      <c r="V384" s="892">
        <v>0</v>
      </c>
      <c r="W384" s="892">
        <v>0</v>
      </c>
      <c r="X384" s="901" t="s">
        <v>2663</v>
      </c>
    </row>
    <row r="385" spans="1:24" s="853" customFormat="1">
      <c r="A385" s="899" t="s">
        <v>2469</v>
      </c>
      <c r="B385" s="902" t="s">
        <v>2151</v>
      </c>
      <c r="C385" s="892">
        <v>630</v>
      </c>
      <c r="D385" s="892">
        <v>0</v>
      </c>
      <c r="E385" s="892">
        <v>0</v>
      </c>
      <c r="F385" s="892">
        <v>630</v>
      </c>
      <c r="G385" s="892">
        <v>630</v>
      </c>
      <c r="H385" s="892">
        <v>0</v>
      </c>
      <c r="I385" s="892">
        <v>0</v>
      </c>
      <c r="J385" s="892">
        <v>0</v>
      </c>
      <c r="K385" s="892">
        <v>630</v>
      </c>
      <c r="L385" s="892">
        <v>0</v>
      </c>
      <c r="M385" s="892">
        <v>0</v>
      </c>
      <c r="N385" s="892">
        <v>0</v>
      </c>
      <c r="O385" s="892">
        <v>0</v>
      </c>
      <c r="P385" s="892">
        <v>0</v>
      </c>
      <c r="Q385" s="892">
        <v>0</v>
      </c>
      <c r="R385" s="892">
        <v>0</v>
      </c>
      <c r="S385" s="892">
        <v>0</v>
      </c>
      <c r="T385" s="892">
        <v>0</v>
      </c>
      <c r="U385" s="892">
        <v>0</v>
      </c>
      <c r="V385" s="892">
        <v>0</v>
      </c>
      <c r="W385" s="892">
        <v>0</v>
      </c>
      <c r="X385" s="901" t="s">
        <v>2243</v>
      </c>
    </row>
    <row r="386" spans="1:24" s="853" customFormat="1" ht="31.5">
      <c r="A386" s="899" t="s">
        <v>2469</v>
      </c>
      <c r="B386" s="902" t="s">
        <v>2173</v>
      </c>
      <c r="C386" s="892">
        <v>4346</v>
      </c>
      <c r="D386" s="892">
        <v>1760</v>
      </c>
      <c r="E386" s="892">
        <v>0</v>
      </c>
      <c r="F386" s="892">
        <v>2586</v>
      </c>
      <c r="G386" s="892">
        <v>4222.7471999999998</v>
      </c>
      <c r="H386" s="892">
        <v>4222.7471999999998</v>
      </c>
      <c r="I386" s="892">
        <v>0</v>
      </c>
      <c r="J386" s="892">
        <v>0</v>
      </c>
      <c r="K386" s="892">
        <v>0</v>
      </c>
      <c r="L386" s="892">
        <v>0</v>
      </c>
      <c r="M386" s="892">
        <v>0</v>
      </c>
      <c r="N386" s="892">
        <v>0</v>
      </c>
      <c r="O386" s="892">
        <v>0</v>
      </c>
      <c r="P386" s="892">
        <v>0</v>
      </c>
      <c r="Q386" s="892">
        <v>0</v>
      </c>
      <c r="R386" s="892">
        <v>0</v>
      </c>
      <c r="S386" s="892">
        <v>0</v>
      </c>
      <c r="T386" s="892">
        <v>0</v>
      </c>
      <c r="U386" s="892">
        <v>0</v>
      </c>
      <c r="V386" s="892">
        <v>0</v>
      </c>
      <c r="W386" s="892">
        <v>0</v>
      </c>
      <c r="X386" s="901" t="s">
        <v>2664</v>
      </c>
    </row>
  </sheetData>
  <autoFilter ref="A12:Y340"/>
  <mergeCells count="25">
    <mergeCell ref="N7:N8"/>
    <mergeCell ref="W7:W8"/>
    <mergeCell ref="X7:X8"/>
    <mergeCell ref="O7:O8"/>
    <mergeCell ref="P7:P8"/>
    <mergeCell ref="Q7:Q8"/>
    <mergeCell ref="R7:S7"/>
    <mergeCell ref="U7:U8"/>
    <mergeCell ref="V7:V8"/>
    <mergeCell ref="H7:H8"/>
    <mergeCell ref="I7:I8"/>
    <mergeCell ref="J7:J8"/>
    <mergeCell ref="K7:K8"/>
    <mergeCell ref="L7:L8"/>
    <mergeCell ref="M7:M8"/>
    <mergeCell ref="D7:F7"/>
    <mergeCell ref="A2:X2"/>
    <mergeCell ref="A3:X3"/>
    <mergeCell ref="W1:X1"/>
    <mergeCell ref="A5:X5"/>
    <mergeCell ref="W6:X6"/>
    <mergeCell ref="A7:A8"/>
    <mergeCell ref="B7:B8"/>
    <mergeCell ref="C7:C8"/>
    <mergeCell ref="G7:G8"/>
  </mergeCells>
  <pageMargins left="0.196850393700787" right="0.196850393700787" top="0.40748031499999998" bottom="0.3" header="0.31496062992126" footer="0.196850393700787"/>
  <pageSetup paperSize="9" scale="45" orientation="landscape" horizontalDpi="1200" verticalDpi="1200" r:id="rId1"/>
  <headerFooter>
    <oddFooter>&amp;C&amp;P&amp;R&amp;A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36</vt:i4>
      </vt:variant>
    </vt:vector>
  </HeadingPairs>
  <TitlesOfParts>
    <vt:vector size="63" baseType="lpstr">
      <vt:lpstr>list</vt:lpstr>
      <vt:lpstr>48</vt:lpstr>
      <vt:lpstr>50</vt:lpstr>
      <vt:lpstr>51</vt:lpstr>
      <vt:lpstr>52</vt:lpstr>
      <vt:lpstr>53</vt:lpstr>
      <vt:lpstr>54</vt:lpstr>
      <vt:lpstr>55</vt:lpstr>
      <vt:lpstr>56</vt:lpstr>
      <vt:lpstr>57</vt:lpstr>
      <vt:lpstr>58</vt:lpstr>
      <vt:lpstr>59</vt:lpstr>
      <vt:lpstr>60</vt:lpstr>
      <vt:lpstr>61</vt:lpstr>
      <vt:lpstr>B64 - thu dich vụ</vt:lpstr>
      <vt:lpstr>vay</vt:lpstr>
      <vt:lpstr>Vay- chi tiết</vt:lpstr>
      <vt:lpstr>bieu 55</vt:lpstr>
      <vt:lpstr>Sheet3</vt:lpstr>
      <vt:lpstr>Sheet6</vt:lpstr>
      <vt:lpstr>Sheet2</vt:lpstr>
      <vt:lpstr>CTMT huyen</vt:lpstr>
      <vt:lpstr>Bieu 60</vt:lpstr>
      <vt:lpstr>BS huyen</vt:lpstr>
      <vt:lpstr>Sheet4</vt:lpstr>
      <vt:lpstr>Bieu 63</vt:lpstr>
      <vt:lpstr>Bieu 64</vt:lpstr>
      <vt:lpstr>'48'!chuong_phuluc_48</vt:lpstr>
      <vt:lpstr>'48'!chuong_phuluc_48_name</vt:lpstr>
      <vt:lpstr>'50'!chuong_phuluc_50</vt:lpstr>
      <vt:lpstr>'50'!chuong_phuluc_50_name</vt:lpstr>
      <vt:lpstr>'51'!chuong_phuluc_51_name</vt:lpstr>
      <vt:lpstr>'52'!chuong_phuluc_52</vt:lpstr>
      <vt:lpstr>'52'!chuong_phuluc_52_name</vt:lpstr>
      <vt:lpstr>'53'!chuong_phuluc_53</vt:lpstr>
      <vt:lpstr>'53'!chuong_phuluc_53_name</vt:lpstr>
      <vt:lpstr>'bieu 55'!chuong_phuluc_55</vt:lpstr>
      <vt:lpstr>'bieu 55'!chuong_phuluc_55_name</vt:lpstr>
      <vt:lpstr>'58'!chuong_phuluc_58</vt:lpstr>
      <vt:lpstr>'58'!chuong_phuluc_58_name</vt:lpstr>
      <vt:lpstr>'59'!chuong_phuluc_59</vt:lpstr>
      <vt:lpstr>'59'!chuong_phuluc_59_name</vt:lpstr>
      <vt:lpstr>'Bieu 60'!chuong_phuluc_60</vt:lpstr>
      <vt:lpstr>'Bieu 60'!chuong_phuluc_60_name</vt:lpstr>
      <vt:lpstr>'Bieu 63'!chuong_phuluc_63</vt:lpstr>
      <vt:lpstr>'Bieu 63'!chuong_phuluc_63_name</vt:lpstr>
      <vt:lpstr>'Bieu 64'!chuong_phuluc_64</vt:lpstr>
      <vt:lpstr>'Bieu 64'!chuong_phuluc_64_name</vt:lpstr>
      <vt:lpstr>'56'!Print_Area</vt:lpstr>
      <vt:lpstr>'61'!Print_Area</vt:lpstr>
      <vt:lpstr>'48'!Print_Titles</vt:lpstr>
      <vt:lpstr>'50'!Print_Titles</vt:lpstr>
      <vt:lpstr>'51'!Print_Titles</vt:lpstr>
      <vt:lpstr>'52'!Print_Titles</vt:lpstr>
      <vt:lpstr>'53'!Print_Titles</vt:lpstr>
      <vt:lpstr>'54'!Print_Titles</vt:lpstr>
      <vt:lpstr>'55'!Print_Titles</vt:lpstr>
      <vt:lpstr>'56'!Print_Titles</vt:lpstr>
      <vt:lpstr>'57'!Print_Titles</vt:lpstr>
      <vt:lpstr>'61'!Print_Titles</vt:lpstr>
      <vt:lpstr>'B64 - thu dich vụ'!Print_Titles</vt:lpstr>
      <vt:lpstr>'bieu 55'!Print_Titles</vt:lpstr>
      <vt:lpstr>'Bieu 64'!Print_Titles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Welcome</dc:creator>
  <cp:lastModifiedBy>COMPUTER</cp:lastModifiedBy>
  <cp:lastPrinted>2024-12-01T09:23:31Z</cp:lastPrinted>
  <dcterms:created xsi:type="dcterms:W3CDTF">2018-06-09T01:43:02Z</dcterms:created>
  <dcterms:modified xsi:type="dcterms:W3CDTF">2024-12-03T14:24:25Z</dcterms:modified>
</cp:coreProperties>
</file>